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ynnovis.sharepoint.com/sites/FinanceBusinessPartnersFileStore/Shared Documents/Finance/2025/Working Files/Directorate/Central Services/Departments/Innovation Fund/"/>
    </mc:Choice>
  </mc:AlternateContent>
  <xr:revisionPtr revIDLastSave="1022" documentId="8_{0306CF60-1840-45BD-91EC-A4EBD83FA0A5}" xr6:coauthVersionLast="47" xr6:coauthVersionMax="47" xr10:uidLastSave="{DF66BD5D-1B74-45FD-913D-812071A4D695}"/>
  <bookViews>
    <workbookView xWindow="28680" yWindow="-1095" windowWidth="29040" windowHeight="15720" activeTab="1" xr2:uid="{00000000-000D-0000-FFFF-FFFF00000000}"/>
  </bookViews>
  <sheets>
    <sheet name="Instructions" sheetId="25" r:id="rId1"/>
    <sheet name="Inputs" sheetId="17" r:id="rId2"/>
    <sheet name="Inputs (Example)" sheetId="26" r:id="rId3"/>
    <sheet name="Summary" sheetId="20" r:id="rId4"/>
    <sheet name="BD Summary" sheetId="8" state="hidden" r:id="rId5"/>
    <sheet name="SfD" sheetId="19" state="hidden" r:id="rId6"/>
    <sheet name="Non Attributable Cost" sheetId="24" state="hidden" r:id="rId7"/>
    <sheet name="Tables" sheetId="16" state="hidden" r:id="rId8"/>
    <sheet name="Consumables Breakdown" sheetId="2" state="hidden" r:id="rId9"/>
    <sheet name="KCH Resources" sheetId="13" state="hidden" r:id="rId10"/>
    <sheet name="GSTT Resources" sheetId="12" state="hidden" r:id="rId11"/>
    <sheet name="AfC" sheetId="22" state="hidden" r:id="rId12"/>
  </sheets>
  <definedNames>
    <definedName name="_xlnm._FilterDatabase" localSheetId="6" hidden="1">'Non Attributable Cost'!$B$2:$H$66</definedName>
    <definedName name="Bedford">Tables!$L$5:$L$11</definedName>
    <definedName name="cost1" localSheetId="3">Summary!#REF!</definedName>
    <definedName name="GSTT">Tables!$I$5:$I$41</definedName>
    <definedName name="KCH_Denmark_Hill">Tables!$J$5:$J$19</definedName>
    <definedName name="KCH_PRUH">Tables!$K$5:$K$9</definedName>
    <definedName name="Laboratories" localSheetId="11">OFFSET(AfC!LaboratoriesList,0,0,COUNTA(AfC!LaboratoriesList),1)</definedName>
    <definedName name="Laboratories" localSheetId="1">OFFSET(Inputs!LaboratoriesList,0,0,COUNTA(Inputs!LaboratoriesList),1)</definedName>
    <definedName name="Laboratories" localSheetId="2">OFFSET('Inputs (Example)'!LaboratoriesList,0,0,COUNTA('Inputs (Example)'!LaboratoriesList),1)</definedName>
    <definedName name="Laboratories">OFFSET(LaboratoriesList,0,0,COUNTA(LaboratoriesList),1)</definedName>
    <definedName name="LaboratoriesList" localSheetId="11">INDEX(#REF!,0,MATCH(#REF!,#REF!,0))</definedName>
    <definedName name="LaboratoriesList" localSheetId="1">INDEX(Tables!$I$5:$L$41,0,MATCH(Inputs!A1048576,Tables!$I$4:$L$4,0))</definedName>
    <definedName name="LaboratoriesList" localSheetId="2">INDEX(Tables!$I$5:$L$41,0,MATCH('Inputs (Example)'!A1048576,Tables!$I$4:$L$4,0))</definedName>
    <definedName name="LaboratoriesList">INDEX(Tables!$I$5:$L$41,0,MATCH(#REF!,Tables!$I$4:$L$4,0))</definedName>
    <definedName name="markup1" localSheetId="3">Summary!#REF!</definedName>
    <definedName name="_xlnm.Print_Area" localSheetId="11">AfC!$A$1:$Q$82</definedName>
    <definedName name="_xlnm.Print_Area" localSheetId="4">'BD Summary'!$B$2:$H$67</definedName>
    <definedName name="_xlnm.Print_Area" localSheetId="10">'GSTT Resources'!$A$1:$S$42</definedName>
    <definedName name="_xlnm.Print_Area" localSheetId="1">Inputs!$B$2:$W$66</definedName>
    <definedName name="_xlnm.Print_Area" localSheetId="2">'Inputs (Example)'!$B$2:$W$66</definedName>
    <definedName name="_xlnm.Print_Area" localSheetId="9">'KCH Resources'!$A$1:$T$23</definedName>
    <definedName name="_xlnm.Print_Area" localSheetId="5">SfD!$B$2:$H$29</definedName>
    <definedName name="_xlnm.Print_Area" localSheetId="3">Summary!$B$2:$P$27</definedName>
    <definedName name="rngListCSRServices">Tables!$E$5:$E$10</definedName>
    <definedName name="rngListPhlebotomyService">Tables!$D$5:$D$7</definedName>
    <definedName name="rngListSite">Tables!$H$5:$H$9</definedName>
    <definedName name="rngListTestType">Tables!$C$5:$C$7</definedName>
    <definedName name="rngSalaryBands">AfC!$B$72:$B$83</definedName>
    <definedName name="Sites">Tables!$I$4:$L$4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7" l="1"/>
  <c r="E6" i="17"/>
  <c r="E5" i="17"/>
  <c r="C21" i="17"/>
  <c r="CI72" i="22" l="1"/>
  <c r="CH82" i="22" l="1"/>
  <c r="CH81" i="22"/>
  <c r="CH80" i="22"/>
  <c r="CH79" i="22"/>
  <c r="CH78" i="22"/>
  <c r="CH77" i="22"/>
  <c r="CH76" i="22"/>
  <c r="CH75" i="22"/>
  <c r="CH74" i="22"/>
  <c r="CH73" i="22"/>
  <c r="CH72" i="22"/>
  <c r="E21" i="17"/>
  <c r="U22" i="26"/>
  <c r="V32" i="26"/>
  <c r="S71" i="26" l="1"/>
  <c r="V71" i="26" s="1"/>
  <c r="W71" i="26" s="1"/>
  <c r="M71" i="26"/>
  <c r="G71" i="26"/>
  <c r="R64" i="26"/>
  <c r="V64" i="26" s="1"/>
  <c r="W64" i="26" s="1"/>
  <c r="L64" i="26"/>
  <c r="M64" i="26" s="1"/>
  <c r="F64" i="26"/>
  <c r="G64" i="26" s="1"/>
  <c r="R63" i="26"/>
  <c r="S63" i="26" s="1"/>
  <c r="L63" i="26"/>
  <c r="M63" i="26" s="1"/>
  <c r="G63" i="26"/>
  <c r="F63" i="26"/>
  <c r="R62" i="26"/>
  <c r="S62" i="26" s="1"/>
  <c r="L62" i="26"/>
  <c r="M62" i="26" s="1"/>
  <c r="F62" i="26"/>
  <c r="G62" i="26" s="1"/>
  <c r="S58" i="26"/>
  <c r="M58" i="26"/>
  <c r="V58" i="26" s="1"/>
  <c r="W58" i="26" s="1"/>
  <c r="G58" i="26"/>
  <c r="S57" i="26"/>
  <c r="M57" i="26"/>
  <c r="G57" i="26"/>
  <c r="S56" i="26"/>
  <c r="M56" i="26"/>
  <c r="G56" i="26"/>
  <c r="V56" i="26" s="1"/>
  <c r="W56" i="26" s="1"/>
  <c r="S55" i="26"/>
  <c r="V55" i="26" s="1"/>
  <c r="W55" i="26" s="1"/>
  <c r="M55" i="26"/>
  <c r="G55" i="26"/>
  <c r="S54" i="26"/>
  <c r="M54" i="26"/>
  <c r="G54" i="26"/>
  <c r="S53" i="26"/>
  <c r="M53" i="26"/>
  <c r="G53" i="26"/>
  <c r="S52" i="26"/>
  <c r="M52" i="26"/>
  <c r="G52" i="26"/>
  <c r="S51" i="26"/>
  <c r="M51" i="26"/>
  <c r="G51" i="26"/>
  <c r="S50" i="26"/>
  <c r="M50" i="26"/>
  <c r="G50" i="26"/>
  <c r="S49" i="26"/>
  <c r="M49" i="26"/>
  <c r="G49" i="26"/>
  <c r="S48" i="26"/>
  <c r="M48" i="26"/>
  <c r="G48" i="26"/>
  <c r="S47" i="26"/>
  <c r="M47" i="26"/>
  <c r="V47" i="26" s="1"/>
  <c r="W47" i="26" s="1"/>
  <c r="G47" i="26"/>
  <c r="S46" i="26"/>
  <c r="M46" i="26"/>
  <c r="G46" i="26"/>
  <c r="S45" i="26"/>
  <c r="V45" i="26" s="1"/>
  <c r="W45" i="26" s="1"/>
  <c r="M45" i="26"/>
  <c r="G45" i="26"/>
  <c r="S44" i="26"/>
  <c r="M44" i="26"/>
  <c r="G44" i="26"/>
  <c r="S43" i="26"/>
  <c r="V43" i="26" s="1"/>
  <c r="W43" i="26" s="1"/>
  <c r="M43" i="26"/>
  <c r="G43" i="26"/>
  <c r="S42" i="26"/>
  <c r="M42" i="26"/>
  <c r="G42" i="26"/>
  <c r="S41" i="26"/>
  <c r="M41" i="26"/>
  <c r="G41" i="26"/>
  <c r="S40" i="26"/>
  <c r="M40" i="26"/>
  <c r="G40" i="26"/>
  <c r="S39" i="26"/>
  <c r="V39" i="26" s="1"/>
  <c r="W39" i="26" s="1"/>
  <c r="M39" i="26"/>
  <c r="G39" i="26"/>
  <c r="S38" i="26"/>
  <c r="M38" i="26"/>
  <c r="G38" i="26"/>
  <c r="G59" i="26" s="1"/>
  <c r="S37" i="26"/>
  <c r="M37" i="26"/>
  <c r="G37" i="26"/>
  <c r="S36" i="26"/>
  <c r="M36" i="26"/>
  <c r="G36" i="26"/>
  <c r="S33" i="26"/>
  <c r="M33" i="26"/>
  <c r="G33" i="26"/>
  <c r="W32" i="26"/>
  <c r="R31" i="26"/>
  <c r="R33" i="26" s="1"/>
  <c r="Q31" i="26"/>
  <c r="Q33" i="26" s="1"/>
  <c r="P31" i="26"/>
  <c r="P33" i="26" s="1"/>
  <c r="O31" i="26"/>
  <c r="O33" i="26" s="1"/>
  <c r="L31" i="26"/>
  <c r="L33" i="26" s="1"/>
  <c r="K31" i="26"/>
  <c r="K33" i="26" s="1"/>
  <c r="J31" i="26"/>
  <c r="J33" i="26" s="1"/>
  <c r="E31" i="26"/>
  <c r="E33" i="26" s="1"/>
  <c r="D31" i="26"/>
  <c r="D33" i="26" s="1"/>
  <c r="V23" i="26"/>
  <c r="W22" i="26"/>
  <c r="S21" i="26"/>
  <c r="S23" i="26" s="1"/>
  <c r="R21" i="26"/>
  <c r="R23" i="26" s="1"/>
  <c r="Q21" i="26"/>
  <c r="Q23" i="26" s="1"/>
  <c r="P21" i="26"/>
  <c r="P23" i="26" s="1"/>
  <c r="O21" i="26"/>
  <c r="O23" i="26" s="1"/>
  <c r="M21" i="26"/>
  <c r="M23" i="26" s="1"/>
  <c r="L21" i="26"/>
  <c r="L23" i="26" s="1"/>
  <c r="K21" i="26"/>
  <c r="K23" i="26" s="1"/>
  <c r="G21" i="26"/>
  <c r="G23" i="26" s="1"/>
  <c r="E21" i="26"/>
  <c r="E23" i="26" s="1"/>
  <c r="G57" i="17"/>
  <c r="M57" i="17"/>
  <c r="S57" i="17"/>
  <c r="G53" i="17"/>
  <c r="M53" i="17"/>
  <c r="S53" i="17"/>
  <c r="G54" i="17"/>
  <c r="M54" i="17"/>
  <c r="S54" i="17"/>
  <c r="G55" i="17"/>
  <c r="M55" i="17"/>
  <c r="S55" i="17"/>
  <c r="G56" i="17"/>
  <c r="M56" i="17"/>
  <c r="S56" i="17"/>
  <c r="G47" i="17"/>
  <c r="M47" i="17"/>
  <c r="S47" i="17"/>
  <c r="G48" i="17"/>
  <c r="M48" i="17"/>
  <c r="S48" i="17"/>
  <c r="G49" i="17"/>
  <c r="M49" i="17"/>
  <c r="S49" i="17"/>
  <c r="G50" i="17"/>
  <c r="M50" i="17"/>
  <c r="S50" i="17"/>
  <c r="G51" i="17"/>
  <c r="M51" i="17"/>
  <c r="S51" i="17"/>
  <c r="G52" i="17"/>
  <c r="M52" i="17"/>
  <c r="S52" i="17"/>
  <c r="M71" i="17"/>
  <c r="K21" i="20" s="1"/>
  <c r="S71" i="17"/>
  <c r="L21" i="20" s="1"/>
  <c r="G71" i="17"/>
  <c r="J21" i="20" s="1"/>
  <c r="V50" i="17" l="1"/>
  <c r="W50" i="17" s="1"/>
  <c r="V57" i="17"/>
  <c r="W57" i="17" s="1"/>
  <c r="V53" i="17"/>
  <c r="W53" i="17" s="1"/>
  <c r="V54" i="17"/>
  <c r="W54" i="17" s="1"/>
  <c r="G15" i="20"/>
  <c r="G65" i="26"/>
  <c r="M59" i="26"/>
  <c r="V44" i="26"/>
  <c r="W44" i="26" s="1"/>
  <c r="V51" i="26"/>
  <c r="W51" i="26" s="1"/>
  <c r="S59" i="26"/>
  <c r="V40" i="26"/>
  <c r="W40" i="26" s="1"/>
  <c r="M65" i="26"/>
  <c r="V48" i="26"/>
  <c r="W48" i="26" s="1"/>
  <c r="V52" i="26"/>
  <c r="W52" i="26" s="1"/>
  <c r="S64" i="26"/>
  <c r="V37" i="26"/>
  <c r="W37" i="26" s="1"/>
  <c r="V41" i="26"/>
  <c r="W41" i="26" s="1"/>
  <c r="V42" i="26"/>
  <c r="W42" i="26" s="1"/>
  <c r="V49" i="26"/>
  <c r="W49" i="26" s="1"/>
  <c r="V53" i="26"/>
  <c r="W53" i="26" s="1"/>
  <c r="V38" i="26"/>
  <c r="W38" i="26" s="1"/>
  <c r="V63" i="26"/>
  <c r="W63" i="26" s="1"/>
  <c r="V46" i="26"/>
  <c r="W46" i="26" s="1"/>
  <c r="V54" i="26"/>
  <c r="W54" i="26" s="1"/>
  <c r="V57" i="26"/>
  <c r="W57" i="26" s="1"/>
  <c r="V50" i="26"/>
  <c r="W50" i="26" s="1"/>
  <c r="V62" i="26"/>
  <c r="S65" i="26"/>
  <c r="V36" i="26"/>
  <c r="V55" i="17"/>
  <c r="W55" i="17" s="1"/>
  <c r="V47" i="17"/>
  <c r="W47" i="17" s="1"/>
  <c r="V56" i="17"/>
  <c r="W56" i="17" s="1"/>
  <c r="V52" i="17"/>
  <c r="W52" i="17" s="1"/>
  <c r="V51" i="17"/>
  <c r="W51" i="17" s="1"/>
  <c r="V49" i="17"/>
  <c r="W49" i="17" s="1"/>
  <c r="V48" i="17"/>
  <c r="W48" i="17" s="1"/>
  <c r="O21" i="20"/>
  <c r="V71" i="17"/>
  <c r="W71" i="17" s="1"/>
  <c r="R64" i="17"/>
  <c r="R63" i="17"/>
  <c r="R62" i="17"/>
  <c r="L64" i="17"/>
  <c r="L63" i="17"/>
  <c r="L62" i="17"/>
  <c r="F64" i="17"/>
  <c r="F63" i="17"/>
  <c r="F62" i="17"/>
  <c r="W36" i="26" l="1"/>
  <c r="W59" i="26" s="1"/>
  <c r="V59" i="26"/>
  <c r="W62" i="26"/>
  <c r="W65" i="26" s="1"/>
  <c r="V65" i="26"/>
  <c r="R21" i="20"/>
  <c r="V32" i="17"/>
  <c r="U22" i="17"/>
  <c r="G33" i="17" l="1"/>
  <c r="M33" i="17"/>
  <c r="S33" i="17"/>
  <c r="V23" i="17"/>
  <c r="S64" i="17"/>
  <c r="S63" i="17"/>
  <c r="M64" i="17"/>
  <c r="M63" i="17"/>
  <c r="G64" i="17"/>
  <c r="G63" i="17"/>
  <c r="E23" i="17"/>
  <c r="E31" i="17"/>
  <c r="E33" i="17" s="1"/>
  <c r="K31" i="17"/>
  <c r="K33" i="17" s="1"/>
  <c r="K21" i="17"/>
  <c r="K23" i="17" s="1"/>
  <c r="Q21" i="17"/>
  <c r="Q23" i="17" s="1"/>
  <c r="Q31" i="17"/>
  <c r="Q33" i="17" s="1"/>
  <c r="S21" i="17"/>
  <c r="S23" i="17" s="1"/>
  <c r="M21" i="17"/>
  <c r="M23" i="17" s="1"/>
  <c r="G21" i="17"/>
  <c r="G23" i="17" s="1"/>
  <c r="M62" i="17"/>
  <c r="R31" i="17"/>
  <c r="R33" i="17" s="1"/>
  <c r="L31" i="17"/>
  <c r="L33" i="17" s="1"/>
  <c r="L21" i="17"/>
  <c r="L23" i="17" s="1"/>
  <c r="R21" i="17"/>
  <c r="R23" i="17" s="1"/>
  <c r="O21" i="17"/>
  <c r="O23" i="17" s="1"/>
  <c r="P21" i="17"/>
  <c r="P23" i="17" s="1"/>
  <c r="G58" i="17"/>
  <c r="G46" i="17"/>
  <c r="G45" i="17"/>
  <c r="G44" i="17"/>
  <c r="G43" i="17"/>
  <c r="G42" i="17"/>
  <c r="G41" i="17"/>
  <c r="G40" i="17"/>
  <c r="G39" i="17"/>
  <c r="G38" i="17"/>
  <c r="G37" i="17"/>
  <c r="G36" i="17"/>
  <c r="S58" i="17"/>
  <c r="S46" i="17"/>
  <c r="S45" i="17"/>
  <c r="S44" i="17"/>
  <c r="S43" i="17"/>
  <c r="S42" i="17"/>
  <c r="S41" i="17"/>
  <c r="S40" i="17"/>
  <c r="S39" i="17"/>
  <c r="S38" i="17"/>
  <c r="S37" i="17"/>
  <c r="S36" i="17"/>
  <c r="M41" i="17"/>
  <c r="M42" i="17"/>
  <c r="M43" i="17"/>
  <c r="M44" i="17"/>
  <c r="M45" i="17"/>
  <c r="M46" i="17"/>
  <c r="M58" i="17"/>
  <c r="M40" i="17"/>
  <c r="M39" i="17"/>
  <c r="M38" i="17"/>
  <c r="M37" i="17"/>
  <c r="M36" i="17"/>
  <c r="J31" i="17"/>
  <c r="J33" i="17" s="1"/>
  <c r="D31" i="17"/>
  <c r="D33" i="17" s="1"/>
  <c r="B8" i="20"/>
  <c r="E8" i="20"/>
  <c r="O8" i="20"/>
  <c r="P31" i="17"/>
  <c r="P33" i="17" s="1"/>
  <c r="CL100" i="22"/>
  <c r="CM92" i="22"/>
  <c r="CM96" i="22" s="1"/>
  <c r="V41" i="17" l="1"/>
  <c r="V43" i="17"/>
  <c r="V63" i="17"/>
  <c r="V38" i="17"/>
  <c r="V39" i="17"/>
  <c r="V40" i="17"/>
  <c r="S59" i="17"/>
  <c r="L17" i="20" s="1"/>
  <c r="V37" i="17"/>
  <c r="V42" i="17"/>
  <c r="V44" i="17"/>
  <c r="V45" i="17"/>
  <c r="V46" i="17"/>
  <c r="V58" i="17"/>
  <c r="S62" i="17"/>
  <c r="V36" i="17"/>
  <c r="W36" i="17" s="1"/>
  <c r="G59" i="17"/>
  <c r="J17" i="20" s="1"/>
  <c r="M59" i="17"/>
  <c r="K17" i="20" s="1"/>
  <c r="M65" i="17"/>
  <c r="K20" i="20" s="1"/>
  <c r="CM94" i="22"/>
  <c r="CM98" i="22" s="1"/>
  <c r="CI77" i="22" s="1"/>
  <c r="E9" i="20"/>
  <c r="E7" i="20"/>
  <c r="E6" i="20"/>
  <c r="E5" i="20"/>
  <c r="E4" i="20"/>
  <c r="B9" i="20"/>
  <c r="O9" i="20"/>
  <c r="B7" i="20"/>
  <c r="B6" i="20"/>
  <c r="B5" i="20"/>
  <c r="B4" i="20"/>
  <c r="B2" i="20"/>
  <c r="O7" i="20"/>
  <c r="W32" i="17"/>
  <c r="W22" i="17"/>
  <c r="CI74" i="22" l="1"/>
  <c r="CI75" i="22"/>
  <c r="CI73" i="22"/>
  <c r="CI82" i="22"/>
  <c r="CI76" i="22"/>
  <c r="CI80" i="22"/>
  <c r="CI81" i="22"/>
  <c r="CI79" i="22"/>
  <c r="CI78" i="22"/>
  <c r="O17" i="20"/>
  <c r="S65" i="17"/>
  <c r="L20" i="20" s="1"/>
  <c r="G16" i="20"/>
  <c r="G18" i="20" s="1"/>
  <c r="G25" i="20" s="1"/>
  <c r="V59" i="17"/>
  <c r="CM99" i="22"/>
  <c r="CM100" i="22"/>
  <c r="B15" i="20" l="1"/>
  <c r="BU10" i="22"/>
  <c r="AW10" i="22"/>
  <c r="BI10" i="22"/>
  <c r="BU83" i="22"/>
  <c r="CN15" i="22"/>
  <c r="CJ9" i="22"/>
  <c r="CK22" i="22" s="1"/>
  <c r="CN83" i="22"/>
  <c r="BR63" i="22" l="1"/>
  <c r="BR58" i="22"/>
  <c r="BR59" i="22" s="1"/>
  <c r="BR60" i="22" s="1"/>
  <c r="BR53" i="22"/>
  <c r="BR48" i="22"/>
  <c r="BR43" i="22"/>
  <c r="BR40" i="22"/>
  <c r="BR35" i="22"/>
  <c r="BR34" i="22"/>
  <c r="BR30" i="22"/>
  <c r="BR29" i="22"/>
  <c r="BR25" i="22"/>
  <c r="BR21" i="22"/>
  <c r="CA83" i="22"/>
  <c r="BX15" i="22"/>
  <c r="BR15" i="22"/>
  <c r="BS9" i="22"/>
  <c r="CB1" i="22"/>
  <c r="CA1" i="22"/>
  <c r="BZ1" i="22"/>
  <c r="BY1" i="22"/>
  <c r="BX1" i="22"/>
  <c r="BW1" i="22"/>
  <c r="BV1" i="22"/>
  <c r="BU1" i="22"/>
  <c r="BT1" i="22"/>
  <c r="BS1" i="22"/>
  <c r="BR1" i="22"/>
  <c r="BF66" i="22"/>
  <c r="BE66" i="22" s="1"/>
  <c r="BF62" i="22"/>
  <c r="BE62" i="22" s="1"/>
  <c r="BF61" i="22"/>
  <c r="BE61" i="22" s="1"/>
  <c r="BF57" i="22"/>
  <c r="BE57" i="22" s="1"/>
  <c r="BF56" i="22"/>
  <c r="BE56" i="22" s="1"/>
  <c r="BF52" i="22"/>
  <c r="BE52" i="22" s="1"/>
  <c r="BF51" i="22"/>
  <c r="BE51" i="22" s="1"/>
  <c r="BF47" i="22"/>
  <c r="BE47" i="22" s="1"/>
  <c r="BF46" i="22"/>
  <c r="BE46" i="22" s="1"/>
  <c r="BF42" i="22"/>
  <c r="BE42" i="22" s="1"/>
  <c r="AT7" i="22"/>
  <c r="BG9" i="22"/>
  <c r="BF38" i="22"/>
  <c r="BE38" i="22" s="1"/>
  <c r="BF37" i="22"/>
  <c r="BE37" i="22" s="1"/>
  <c r="BF33" i="22"/>
  <c r="BE33" i="22" s="1"/>
  <c r="BF32" i="22"/>
  <c r="BE32" i="22" s="1"/>
  <c r="BF28" i="22"/>
  <c r="BE28" i="22" s="1"/>
  <c r="BF27" i="22"/>
  <c r="BE27" i="22" s="1"/>
  <c r="BF23" i="22"/>
  <c r="BE23" i="22" s="1"/>
  <c r="BF20" i="22"/>
  <c r="BE20" i="22" s="1"/>
  <c r="BH5" i="22"/>
  <c r="BT5" i="22" s="1"/>
  <c r="BH6" i="22"/>
  <c r="BT6" i="22" s="1"/>
  <c r="BG5" i="22"/>
  <c r="BS5" i="22" s="1"/>
  <c r="BG6" i="22"/>
  <c r="BS6" i="22" s="1"/>
  <c r="BF6" i="22"/>
  <c r="BR6" i="22" s="1"/>
  <c r="BX6" i="22" s="1"/>
  <c r="BF5" i="22"/>
  <c r="BR5" i="22" s="1"/>
  <c r="BE5" i="22"/>
  <c r="AT63" i="22"/>
  <c r="AT64" i="22" s="1"/>
  <c r="AT65" i="22" s="1"/>
  <c r="BF65" i="22" s="1"/>
  <c r="BE65" i="22" s="1"/>
  <c r="AT58" i="22"/>
  <c r="AT59" i="22" s="1"/>
  <c r="AT60" i="22" s="1"/>
  <c r="BF60" i="22" s="1"/>
  <c r="BE60" i="22" s="1"/>
  <c r="AT53" i="22"/>
  <c r="BF53" i="22" s="1"/>
  <c r="BE53" i="22" s="1"/>
  <c r="AT43" i="22"/>
  <c r="AT48" i="22"/>
  <c r="BF48" i="22" s="1"/>
  <c r="BE48" i="22" s="1"/>
  <c r="AT40" i="22"/>
  <c r="BF40" i="22" s="1"/>
  <c r="BE40" i="22" s="1"/>
  <c r="AT39" i="22"/>
  <c r="BF39" i="22" s="1"/>
  <c r="BE39" i="22" s="1"/>
  <c r="AT35" i="22"/>
  <c r="AT34" i="22"/>
  <c r="BF34" i="22" s="1"/>
  <c r="BE34" i="22" s="1"/>
  <c r="AT30" i="22"/>
  <c r="BF30" i="22" s="1"/>
  <c r="BE30" i="22" s="1"/>
  <c r="AT29" i="22"/>
  <c r="BF29" i="22" s="1"/>
  <c r="BE29" i="22" s="1"/>
  <c r="AT25" i="22"/>
  <c r="BF25" i="22" s="1"/>
  <c r="BE25" i="22" s="1"/>
  <c r="AT21" i="22"/>
  <c r="BF21" i="22" s="1"/>
  <c r="BE21" i="22" s="1"/>
  <c r="BF18" i="22"/>
  <c r="BQ18" i="22" s="1"/>
  <c r="AT69" i="22"/>
  <c r="BI8" i="22"/>
  <c r="BU8" i="22" s="1"/>
  <c r="BK13" i="22"/>
  <c r="BW13" i="22" s="1"/>
  <c r="BI83" i="22"/>
  <c r="BC1" i="22"/>
  <c r="BD1" i="22"/>
  <c r="BE1" i="22"/>
  <c r="BF1" i="22"/>
  <c r="BG1" i="22"/>
  <c r="BH1" i="22"/>
  <c r="BI1" i="22"/>
  <c r="BJ1" i="22"/>
  <c r="BK1" i="22"/>
  <c r="BL1" i="22"/>
  <c r="BM1" i="22"/>
  <c r="BN1" i="22"/>
  <c r="BO1" i="22"/>
  <c r="BP1" i="22"/>
  <c r="BO83" i="22"/>
  <c r="BL15" i="22"/>
  <c r="BF15" i="22"/>
  <c r="AT24" i="22" l="1"/>
  <c r="BF24" i="22" s="1"/>
  <c r="BE24" i="22" s="1"/>
  <c r="BE18" i="22"/>
  <c r="AT22" i="22"/>
  <c r="BF22" i="22" s="1"/>
  <c r="BE22" i="22" s="1"/>
  <c r="BF63" i="22"/>
  <c r="BE63" i="22" s="1"/>
  <c r="BF43" i="22"/>
  <c r="BE43" i="22" s="1"/>
  <c r="BS62" i="22"/>
  <c r="BU62" i="22" s="1"/>
  <c r="BS42" i="22"/>
  <c r="BU42" i="22" s="1"/>
  <c r="BS33" i="22"/>
  <c r="BU33" i="22" s="1"/>
  <c r="BS28" i="22"/>
  <c r="BU28" i="22" s="1"/>
  <c r="BS20" i="22"/>
  <c r="BU20" i="22" s="1"/>
  <c r="BX5" i="22"/>
  <c r="BS61" i="22"/>
  <c r="BU61" i="22" s="1"/>
  <c r="BS37" i="22"/>
  <c r="BU37" i="22" s="1"/>
  <c r="BS23" i="22"/>
  <c r="BU23" i="22" s="1"/>
  <c r="BS47" i="22"/>
  <c r="BW47" i="22" s="1"/>
  <c r="BS32" i="22"/>
  <c r="BU32" i="22" s="1"/>
  <c r="BS27" i="22"/>
  <c r="BW27" i="22" s="1"/>
  <c r="BS46" i="22"/>
  <c r="BU46" i="22" s="1"/>
  <c r="BS66" i="22"/>
  <c r="BW66" i="22" s="1"/>
  <c r="BS52" i="22"/>
  <c r="BW52" i="22" s="1"/>
  <c r="BS58" i="22"/>
  <c r="BU58" i="22" s="1"/>
  <c r="BS51" i="22"/>
  <c r="BW51" i="22" s="1"/>
  <c r="BS30" i="22"/>
  <c r="BU30" i="22" s="1"/>
  <c r="BS21" i="22"/>
  <c r="BU21" i="22" s="1"/>
  <c r="BS57" i="22"/>
  <c r="BU57" i="22" s="1"/>
  <c r="BS63" i="22"/>
  <c r="BW63" i="22" s="1"/>
  <c r="BS56" i="22"/>
  <c r="BW56" i="22" s="1"/>
  <c r="BS43" i="22"/>
  <c r="BU43" i="22" s="1"/>
  <c r="BS38" i="22"/>
  <c r="BU38" i="22" s="1"/>
  <c r="BS29" i="22"/>
  <c r="BU29" i="22" s="1"/>
  <c r="BS18" i="22"/>
  <c r="BU18" i="22" s="1"/>
  <c r="BS53" i="22"/>
  <c r="BU53" i="22" s="1"/>
  <c r="CL42" i="22"/>
  <c r="CL50" i="22"/>
  <c r="CL58" i="22"/>
  <c r="CL66" i="22"/>
  <c r="CL57" i="22"/>
  <c r="CL19" i="22"/>
  <c r="CL35" i="22"/>
  <c r="CL43" i="22"/>
  <c r="CL51" i="22"/>
  <c r="CL59" i="22"/>
  <c r="CL18" i="22"/>
  <c r="CL25" i="22"/>
  <c r="CL20" i="22"/>
  <c r="CL36" i="22"/>
  <c r="CL44" i="22"/>
  <c r="CL52" i="22"/>
  <c r="CL60" i="22"/>
  <c r="CL65" i="22"/>
  <c r="CL21" i="22"/>
  <c r="CL37" i="22"/>
  <c r="CL45" i="22"/>
  <c r="CL53" i="22"/>
  <c r="CL61" i="22"/>
  <c r="CL41" i="22"/>
  <c r="CL22" i="22"/>
  <c r="CL38" i="22"/>
  <c r="CL46" i="22"/>
  <c r="CL54" i="22"/>
  <c r="CL62" i="22"/>
  <c r="CL33" i="22"/>
  <c r="CL23" i="22"/>
  <c r="CL39" i="22"/>
  <c r="CL47" i="22"/>
  <c r="CL55" i="22"/>
  <c r="CL63" i="22"/>
  <c r="CL40" i="22"/>
  <c r="CL48" i="22"/>
  <c r="CL56" i="22"/>
  <c r="CL64" i="22"/>
  <c r="CL49" i="22"/>
  <c r="CL30" i="22"/>
  <c r="CL32" i="22"/>
  <c r="CL24" i="22"/>
  <c r="CL29" i="22"/>
  <c r="CL34" i="22"/>
  <c r="CL31" i="22"/>
  <c r="CL28" i="22"/>
  <c r="CL27" i="22"/>
  <c r="CL26" i="22"/>
  <c r="BS34" i="22"/>
  <c r="BU34" i="22" s="1"/>
  <c r="BS60" i="22"/>
  <c r="BU60" i="22" s="1"/>
  <c r="AT44" i="22"/>
  <c r="AT36" i="22"/>
  <c r="BF36" i="22" s="1"/>
  <c r="BE36" i="22" s="1"/>
  <c r="CK25" i="22"/>
  <c r="CK56" i="22"/>
  <c r="CK64" i="22"/>
  <c r="CK33" i="22"/>
  <c r="CK41" i="22"/>
  <c r="CK49" i="22"/>
  <c r="CK39" i="22"/>
  <c r="CK63" i="22"/>
  <c r="CK31" i="22"/>
  <c r="CK55" i="22"/>
  <c r="CK24" i="22"/>
  <c r="CK47" i="22"/>
  <c r="CK50" i="22"/>
  <c r="CK34" i="22"/>
  <c r="CK58" i="22"/>
  <c r="CK27" i="22"/>
  <c r="CK32" i="22"/>
  <c r="CK35" i="22"/>
  <c r="CK18" i="22"/>
  <c r="CK37" i="22"/>
  <c r="CK51" i="22"/>
  <c r="CK40" i="22"/>
  <c r="CK43" i="22"/>
  <c r="CK19" i="22"/>
  <c r="CK57" i="22"/>
  <c r="CK38" i="22"/>
  <c r="CK20" i="22"/>
  <c r="CK48" i="22"/>
  <c r="CK53" i="22"/>
  <c r="CK65" i="22"/>
  <c r="CK30" i="22"/>
  <c r="CK59" i="22"/>
  <c r="CK42" i="22"/>
  <c r="CK46" i="22"/>
  <c r="CK36" i="22"/>
  <c r="CK60" i="22"/>
  <c r="CK52" i="22"/>
  <c r="CK28" i="22"/>
  <c r="CK54" i="22"/>
  <c r="CK45" i="22"/>
  <c r="CK21" i="22"/>
  <c r="CK26" i="22"/>
  <c r="CK23" i="22"/>
  <c r="CK66" i="22"/>
  <c r="CK62" i="22"/>
  <c r="CK29" i="22"/>
  <c r="CK61" i="22"/>
  <c r="CK44" i="22"/>
  <c r="BF58" i="22"/>
  <c r="BE58" i="22" s="1"/>
  <c r="BF64" i="22"/>
  <c r="BE64" i="22" s="1"/>
  <c r="BR39" i="22"/>
  <c r="BS39" i="22" s="1"/>
  <c r="BF35" i="22"/>
  <c r="BE35" i="22" s="1"/>
  <c r="BF59" i="22"/>
  <c r="BE59" i="22" s="1"/>
  <c r="BS25" i="22"/>
  <c r="BU25" i="22" s="1"/>
  <c r="BQ20" i="22"/>
  <c r="BS35" i="22"/>
  <c r="BU35" i="22" s="1"/>
  <c r="BS40" i="22"/>
  <c r="BU40" i="22" s="1"/>
  <c r="BS59" i="22"/>
  <c r="BU59" i="22" s="1"/>
  <c r="BS48" i="22"/>
  <c r="BU48" i="22" s="1"/>
  <c r="BR64" i="22"/>
  <c r="BS64" i="22" s="1"/>
  <c r="BU64" i="22" s="1"/>
  <c r="BR49" i="22"/>
  <c r="BS49" i="22" s="1"/>
  <c r="BR44" i="22"/>
  <c r="BS44" i="22" s="1"/>
  <c r="BR41" i="22"/>
  <c r="BS41" i="22" s="1"/>
  <c r="BR36" i="22"/>
  <c r="BS36" i="22" s="1"/>
  <c r="BR31" i="22"/>
  <c r="BS31" i="22" s="1"/>
  <c r="BR26" i="22"/>
  <c r="BR24" i="22"/>
  <c r="BS24" i="22" s="1"/>
  <c r="BC83" i="22"/>
  <c r="V64" i="17"/>
  <c r="W64" i="17" s="1"/>
  <c r="W63" i="17"/>
  <c r="BW53" i="22" l="1"/>
  <c r="BW28" i="22"/>
  <c r="BW40" i="22"/>
  <c r="BU63" i="22"/>
  <c r="BW62" i="22"/>
  <c r="BU66" i="22"/>
  <c r="BU52" i="22"/>
  <c r="BU56" i="22"/>
  <c r="BW25" i="22"/>
  <c r="CM18" i="22"/>
  <c r="CN18" i="22" s="1"/>
  <c r="BU27" i="22"/>
  <c r="BW21" i="22"/>
  <c r="BW23" i="22"/>
  <c r="BU39" i="22"/>
  <c r="BW20" i="22"/>
  <c r="BW46" i="22"/>
  <c r="BU31" i="22"/>
  <c r="CM24" i="22"/>
  <c r="CN24" i="22" s="1"/>
  <c r="BW37" i="22"/>
  <c r="BU47" i="22"/>
  <c r="AT31" i="22"/>
  <c r="BF31" i="22" s="1"/>
  <c r="BE31" i="22" s="1"/>
  <c r="BR65" i="22"/>
  <c r="BS65" i="22" s="1"/>
  <c r="AT49" i="22"/>
  <c r="AT54" i="22"/>
  <c r="CM32" i="22"/>
  <c r="CN32" i="22" s="1"/>
  <c r="BU51" i="22"/>
  <c r="BU24" i="22"/>
  <c r="BW42" i="22"/>
  <c r="BW38" i="22"/>
  <c r="BR22" i="22"/>
  <c r="AT26" i="22"/>
  <c r="BF26" i="22" s="1"/>
  <c r="BE26" i="22" s="1"/>
  <c r="CM23" i="22"/>
  <c r="CN23" i="22" s="1"/>
  <c r="CM20" i="22"/>
  <c r="CN20" i="22" s="1"/>
  <c r="BS26" i="22"/>
  <c r="BW26" i="22" s="1"/>
  <c r="AT45" i="22"/>
  <c r="BF45" i="22" s="1"/>
  <c r="BE45" i="22" s="1"/>
  <c r="BF44" i="22"/>
  <c r="BE44" i="22" s="1"/>
  <c r="CM26" i="22"/>
  <c r="CN26" i="22" s="1"/>
  <c r="CM19" i="22"/>
  <c r="CN19" i="22" s="1"/>
  <c r="CE72" i="22" s="1"/>
  <c r="CF72" i="22" s="1"/>
  <c r="CM21" i="22"/>
  <c r="CN21" i="22" s="1"/>
  <c r="BW18" i="22"/>
  <c r="CM22" i="22"/>
  <c r="CN22" i="22" s="1"/>
  <c r="AT41" i="22"/>
  <c r="BF41" i="22" s="1"/>
  <c r="BE41" i="22" s="1"/>
  <c r="CM29" i="22"/>
  <c r="CN29" i="22" s="1"/>
  <c r="CM25" i="22"/>
  <c r="CN25" i="22" s="1"/>
  <c r="CM27" i="22"/>
  <c r="CN27" i="22" s="1"/>
  <c r="BW57" i="22"/>
  <c r="BW43" i="22"/>
  <c r="BW39" i="22"/>
  <c r="BW33" i="22"/>
  <c r="BW64" i="22"/>
  <c r="BW60" i="22"/>
  <c r="BR54" i="22"/>
  <c r="BS54" i="22" s="1"/>
  <c r="BW48" i="22"/>
  <c r="BR50" i="22"/>
  <c r="BS50" i="22" s="1"/>
  <c r="BU49" i="22"/>
  <c r="BR45" i="22"/>
  <c r="BS45" i="22" s="1"/>
  <c r="BU44" i="22"/>
  <c r="BW41" i="22"/>
  <c r="BW36" i="22"/>
  <c r="BW30" i="22"/>
  <c r="BW24" i="22"/>
  <c r="BW29" i="22"/>
  <c r="BR19" i="22"/>
  <c r="BS19" i="22" s="1"/>
  <c r="BW61" i="22"/>
  <c r="BW31" i="22"/>
  <c r="BW34" i="22"/>
  <c r="BW32" i="22"/>
  <c r="BW58" i="22"/>
  <c r="BW35" i="22"/>
  <c r="BW59" i="22"/>
  <c r="AW83" i="22"/>
  <c r="AZ15" i="22"/>
  <c r="AT15" i="22"/>
  <c r="BB1" i="22"/>
  <c r="BA1" i="22"/>
  <c r="AZ1" i="22"/>
  <c r="AY1" i="22"/>
  <c r="AX1" i="22"/>
  <c r="AW1" i="22"/>
  <c r="AU1" i="22"/>
  <c r="AT1" i="22"/>
  <c r="AT19" i="22" l="1"/>
  <c r="BF54" i="22"/>
  <c r="BE54" i="22" s="1"/>
  <c r="AT55" i="22"/>
  <c r="BF55" i="22" s="1"/>
  <c r="BE55" i="22" s="1"/>
  <c r="BF49" i="22"/>
  <c r="BE49" i="22" s="1"/>
  <c r="AT50" i="22"/>
  <c r="BF50" i="22" s="1"/>
  <c r="BE50" i="22" s="1"/>
  <c r="BU65" i="22"/>
  <c r="BW65" i="22"/>
  <c r="CE74" i="22"/>
  <c r="CF74" i="22" s="1"/>
  <c r="F21" i="26" s="1"/>
  <c r="F23" i="26" s="1"/>
  <c r="CG72" i="22"/>
  <c r="CE73" i="22"/>
  <c r="BU26" i="22"/>
  <c r="BS22" i="22"/>
  <c r="BW22" i="22" s="1"/>
  <c r="CM30" i="22"/>
  <c r="CN30" i="22" s="1"/>
  <c r="CM28" i="22"/>
  <c r="CN28" i="22" s="1"/>
  <c r="BW44" i="22"/>
  <c r="BU41" i="22"/>
  <c r="BR55" i="22"/>
  <c r="BS55" i="22" s="1"/>
  <c r="BW54" i="22"/>
  <c r="BW49" i="22"/>
  <c r="BW50" i="22"/>
  <c r="BU45" i="22"/>
  <c r="BW45" i="22"/>
  <c r="BU36" i="22"/>
  <c r="BU19" i="22"/>
  <c r="BW19" i="22"/>
  <c r="AZ6" i="22"/>
  <c r="BL6" i="22"/>
  <c r="AU35" i="22"/>
  <c r="AU52" i="22"/>
  <c r="AU25" i="22"/>
  <c r="AW25" i="22" s="1"/>
  <c r="AU23" i="22"/>
  <c r="AW23" i="22" s="1"/>
  <c r="AU39" i="22"/>
  <c r="AW39" i="22" s="1"/>
  <c r="AU41" i="22"/>
  <c r="AW41" i="22" s="1"/>
  <c r="AU44" i="22"/>
  <c r="AW44" i="22" s="1"/>
  <c r="AU51" i="22"/>
  <c r="AU54" i="22"/>
  <c r="AW54" i="22" s="1"/>
  <c r="AU58" i="22"/>
  <c r="AW58" i="22" s="1"/>
  <c r="AU61" i="22"/>
  <c r="AU64" i="22"/>
  <c r="AW64" i="22" s="1"/>
  <c r="AU62" i="22"/>
  <c r="AU55" i="22"/>
  <c r="AU42" i="22"/>
  <c r="AU33" i="22"/>
  <c r="AU28" i="22"/>
  <c r="AU18" i="22"/>
  <c r="AW18" i="22" s="1"/>
  <c r="AU66" i="22"/>
  <c r="AW66" i="22" s="1"/>
  <c r="AU59" i="22"/>
  <c r="AW59" i="22" s="1"/>
  <c r="AU53" i="22"/>
  <c r="AW53" i="22" s="1"/>
  <c r="AU46" i="22"/>
  <c r="AW46" i="22" s="1"/>
  <c r="AU40" i="22"/>
  <c r="AW40" i="22" s="1"/>
  <c r="AU31" i="22"/>
  <c r="AW31" i="22" s="1"/>
  <c r="AU26" i="22"/>
  <c r="AW26" i="22" s="1"/>
  <c r="AZ5" i="22"/>
  <c r="AU21" i="22"/>
  <c r="AW21" i="22" s="1"/>
  <c r="AU30" i="22"/>
  <c r="AU65" i="22"/>
  <c r="AU45" i="22"/>
  <c r="AU20" i="22"/>
  <c r="AW20" i="22" s="1"/>
  <c r="AU24" i="22"/>
  <c r="AW24" i="22" s="1"/>
  <c r="AU29" i="22"/>
  <c r="AW29" i="22" s="1"/>
  <c r="AU38" i="22"/>
  <c r="AW38" i="22" s="1"/>
  <c r="AU43" i="22"/>
  <c r="AW43" i="22" s="1"/>
  <c r="AU49" i="22"/>
  <c r="AW49" i="22" s="1"/>
  <c r="AU56" i="22"/>
  <c r="AW56" i="22" s="1"/>
  <c r="AU63" i="22"/>
  <c r="AW63" i="22" s="1"/>
  <c r="AU32" i="22"/>
  <c r="AW32" i="22" s="1"/>
  <c r="AU34" i="22"/>
  <c r="AU57" i="22"/>
  <c r="AW57" i="22" s="1"/>
  <c r="AU60" i="22"/>
  <c r="AU22" i="22"/>
  <c r="AU27" i="22"/>
  <c r="AU36" i="22"/>
  <c r="AU47" i="22"/>
  <c r="AU37" i="22"/>
  <c r="AU48" i="22"/>
  <c r="BU22" i="22" l="1"/>
  <c r="AT67" i="22"/>
  <c r="BR67" i="22"/>
  <c r="AU50" i="22"/>
  <c r="AW50" i="22" s="1"/>
  <c r="BF19" i="22"/>
  <c r="BG19" i="22" s="1"/>
  <c r="BK19" i="22" s="1"/>
  <c r="AU19" i="22"/>
  <c r="AW19" i="22" s="1"/>
  <c r="CG74" i="22"/>
  <c r="CG73" i="22"/>
  <c r="CF73" i="22"/>
  <c r="F21" i="17" s="1"/>
  <c r="F23" i="17" s="1"/>
  <c r="CM31" i="22"/>
  <c r="CN31" i="22" s="1"/>
  <c r="CM40" i="22"/>
  <c r="CN40" i="22" s="1"/>
  <c r="CM33" i="22"/>
  <c r="CN33" i="22" s="1"/>
  <c r="CM35" i="22"/>
  <c r="CN35" i="22" s="1"/>
  <c r="BU54" i="22"/>
  <c r="BW55" i="22"/>
  <c r="BU50" i="22"/>
  <c r="BL5" i="22"/>
  <c r="BG24" i="22"/>
  <c r="BI24" i="22" s="1"/>
  <c r="BG29" i="22"/>
  <c r="BK29" i="22" s="1"/>
  <c r="BG43" i="22"/>
  <c r="BI43" i="22" s="1"/>
  <c r="BG63" i="22"/>
  <c r="BK63" i="22" s="1"/>
  <c r="BG25" i="22"/>
  <c r="BI25" i="22" s="1"/>
  <c r="BG51" i="22"/>
  <c r="BI51" i="22" s="1"/>
  <c r="BG64" i="22"/>
  <c r="BK64" i="22" s="1"/>
  <c r="BG34" i="22"/>
  <c r="BK34" i="22" s="1"/>
  <c r="BG50" i="22"/>
  <c r="BI50" i="22" s="1"/>
  <c r="BG57" i="22"/>
  <c r="BG35" i="22"/>
  <c r="BI35" i="22" s="1"/>
  <c r="BG45" i="22"/>
  <c r="BI45" i="22" s="1"/>
  <c r="BG52" i="22"/>
  <c r="BK52" i="22" s="1"/>
  <c r="BG65" i="22"/>
  <c r="BK65" i="22" s="1"/>
  <c r="BG31" i="22"/>
  <c r="BI31" i="22" s="1"/>
  <c r="BG46" i="22"/>
  <c r="BK46" i="22" s="1"/>
  <c r="BG59" i="22"/>
  <c r="BG22" i="22"/>
  <c r="BK22" i="22" s="1"/>
  <c r="BG27" i="22"/>
  <c r="BI27" i="22" s="1"/>
  <c r="BG36" i="22"/>
  <c r="BI36" i="22" s="1"/>
  <c r="BG47" i="22"/>
  <c r="BK47" i="22" s="1"/>
  <c r="BG60" i="22"/>
  <c r="BK60" i="22" s="1"/>
  <c r="BG26" i="22"/>
  <c r="BI26" i="22" s="1"/>
  <c r="BG40" i="22"/>
  <c r="BI40" i="22" s="1"/>
  <c r="BG53" i="22"/>
  <c r="BK53" i="22" s="1"/>
  <c r="BG66" i="22"/>
  <c r="BI66" i="22" s="1"/>
  <c r="BG32" i="22"/>
  <c r="BK32" i="22" s="1"/>
  <c r="BG23" i="22"/>
  <c r="BK23" i="22" s="1"/>
  <c r="BG37" i="22"/>
  <c r="BK37" i="22" s="1"/>
  <c r="BG41" i="22"/>
  <c r="BK41" i="22" s="1"/>
  <c r="BG48" i="22"/>
  <c r="BI48" i="22" s="1"/>
  <c r="BG54" i="22"/>
  <c r="BI54" i="22" s="1"/>
  <c r="BG61" i="22"/>
  <c r="BK61" i="22" s="1"/>
  <c r="BG38" i="22"/>
  <c r="BI38" i="22" s="1"/>
  <c r="BG56" i="22"/>
  <c r="BG21" i="22"/>
  <c r="BI21" i="22" s="1"/>
  <c r="BG30" i="22"/>
  <c r="BK30" i="22" s="1"/>
  <c r="BG44" i="22"/>
  <c r="BK44" i="22" s="1"/>
  <c r="BG20" i="22"/>
  <c r="BI20" i="22" s="1"/>
  <c r="BG28" i="22"/>
  <c r="BG33" i="22"/>
  <c r="BK33" i="22" s="1"/>
  <c r="BG42" i="22"/>
  <c r="BK42" i="22" s="1"/>
  <c r="BG55" i="22"/>
  <c r="BI55" i="22" s="1"/>
  <c r="BG62" i="22"/>
  <c r="BK62" i="22" s="1"/>
  <c r="BG49" i="22"/>
  <c r="BK49" i="22" s="1"/>
  <c r="BG39" i="22"/>
  <c r="BI39" i="22" s="1"/>
  <c r="BG58" i="22"/>
  <c r="BI58" i="22" s="1"/>
  <c r="BG18" i="22"/>
  <c r="BK18" i="22" s="1"/>
  <c r="AW28" i="22"/>
  <c r="AW35" i="22"/>
  <c r="AW61" i="22"/>
  <c r="AW51" i="22"/>
  <c r="AW65" i="22"/>
  <c r="AW30" i="22"/>
  <c r="AW52" i="22"/>
  <c r="AW37" i="22"/>
  <c r="AW34" i="22"/>
  <c r="AW42" i="22"/>
  <c r="AW48" i="22"/>
  <c r="AW47" i="22"/>
  <c r="AW55" i="22"/>
  <c r="AW27" i="22"/>
  <c r="AW33" i="22"/>
  <c r="AW22" i="22"/>
  <c r="AW60" i="22"/>
  <c r="AW45" i="22"/>
  <c r="AW62" i="22"/>
  <c r="AW36" i="22"/>
  <c r="BK24" i="22" l="1"/>
  <c r="BK36" i="22"/>
  <c r="BE19" i="22"/>
  <c r="BF67" i="22"/>
  <c r="CE75" i="22"/>
  <c r="CM38" i="22"/>
  <c r="CN38" i="22" s="1"/>
  <c r="CM36" i="22"/>
  <c r="CN36" i="22" s="1"/>
  <c r="CM34" i="22"/>
  <c r="CN34" i="22" s="1"/>
  <c r="CE76" i="22" s="1"/>
  <c r="BU55" i="22"/>
  <c r="BI61" i="22"/>
  <c r="BI22" i="22"/>
  <c r="BK39" i="22"/>
  <c r="BI63" i="22"/>
  <c r="BK58" i="22"/>
  <c r="BI64" i="22"/>
  <c r="BK66" i="22"/>
  <c r="BI52" i="22"/>
  <c r="BI53" i="22"/>
  <c r="BK45" i="22"/>
  <c r="BK43" i="22"/>
  <c r="BI44" i="22"/>
  <c r="BK50" i="22"/>
  <c r="BI47" i="22"/>
  <c r="BI42" i="22"/>
  <c r="BI41" i="22"/>
  <c r="BI30" i="22"/>
  <c r="BI29" i="22"/>
  <c r="BK25" i="22"/>
  <c r="BK21" i="22"/>
  <c r="BI37" i="22"/>
  <c r="BI65" i="22"/>
  <c r="BK55" i="22"/>
  <c r="BI32" i="22"/>
  <c r="BK51" i="22"/>
  <c r="BI60" i="22"/>
  <c r="BI46" i="22"/>
  <c r="BK54" i="22"/>
  <c r="BK35" i="22"/>
  <c r="BK26" i="22"/>
  <c r="BK48" i="22"/>
  <c r="BI62" i="22"/>
  <c r="BK20" i="22"/>
  <c r="BI34" i="22"/>
  <c r="BK31" i="22"/>
  <c r="BK27" i="22"/>
  <c r="BK40" i="22"/>
  <c r="BI49" i="22"/>
  <c r="BI59" i="22"/>
  <c r="BK59" i="22"/>
  <c r="BK57" i="22"/>
  <c r="BI57" i="22"/>
  <c r="BK28" i="22"/>
  <c r="BI28" i="22"/>
  <c r="BK38" i="22"/>
  <c r="BI33" i="22"/>
  <c r="BI18" i="22"/>
  <c r="BI19" i="22"/>
  <c r="BI23" i="22"/>
  <c r="BI56" i="22"/>
  <c r="BK56" i="22"/>
  <c r="AW67" i="22"/>
  <c r="CG75" i="22" l="1"/>
  <c r="CF75" i="22"/>
  <c r="CG76" i="22"/>
  <c r="CF76" i="22"/>
  <c r="CM48" i="22"/>
  <c r="CN48" i="22" s="1"/>
  <c r="CM37" i="22"/>
  <c r="CN37" i="22" s="1"/>
  <c r="CM39" i="22"/>
  <c r="CN39" i="22" s="1"/>
  <c r="BU67" i="22"/>
  <c r="BI67" i="22"/>
  <c r="F31" i="26" l="1"/>
  <c r="F33" i="26" s="1"/>
  <c r="F31" i="17"/>
  <c r="F33" i="17" s="1"/>
  <c r="I21" i="26"/>
  <c r="I23" i="26" s="1"/>
  <c r="C21" i="26"/>
  <c r="I21" i="17"/>
  <c r="I23" i="17" s="1"/>
  <c r="CM41" i="22"/>
  <c r="CN41" i="22" s="1"/>
  <c r="CE77" i="22" s="1"/>
  <c r="CM44" i="22"/>
  <c r="CN44" i="22" s="1"/>
  <c r="CM42" i="22"/>
  <c r="CN42" i="22" s="1"/>
  <c r="CM52" i="22"/>
  <c r="CN52" i="22" s="1"/>
  <c r="AK83" i="22"/>
  <c r="C23" i="17" l="1"/>
  <c r="C23" i="26"/>
  <c r="CG77" i="22"/>
  <c r="CF77" i="22"/>
  <c r="CM56" i="22"/>
  <c r="CN56" i="22" s="1"/>
  <c r="CM43" i="22"/>
  <c r="CN43" i="22" s="1"/>
  <c r="CM46" i="22"/>
  <c r="CN46" i="22" s="1"/>
  <c r="CM45" i="22"/>
  <c r="CN45" i="22" s="1"/>
  <c r="Y83" i="22"/>
  <c r="CE78" i="22" l="1"/>
  <c r="CG78" i="22" s="1"/>
  <c r="CM53" i="22"/>
  <c r="CN53" i="22" s="1"/>
  <c r="CM47" i="22"/>
  <c r="CN47" i="22" s="1"/>
  <c r="CM50" i="22"/>
  <c r="CN50" i="22" s="1"/>
  <c r="CM49" i="22"/>
  <c r="CN49" i="22" s="1"/>
  <c r="CM60" i="22"/>
  <c r="CN60" i="22" s="1"/>
  <c r="M83" i="22"/>
  <c r="L16" i="24"/>
  <c r="L17" i="24"/>
  <c r="L18" i="24"/>
  <c r="L19" i="24"/>
  <c r="L12" i="24"/>
  <c r="L13" i="24"/>
  <c r="L14" i="24"/>
  <c r="L15" i="24"/>
  <c r="L4" i="24"/>
  <c r="L5" i="24"/>
  <c r="L6" i="24"/>
  <c r="L7" i="24"/>
  <c r="L8" i="24"/>
  <c r="L9" i="24"/>
  <c r="L10" i="24"/>
  <c r="L11" i="24"/>
  <c r="CF78" i="22" l="1"/>
  <c r="C31" i="26"/>
  <c r="J21" i="26"/>
  <c r="J23" i="26" s="1"/>
  <c r="D21" i="26"/>
  <c r="I31" i="26"/>
  <c r="I33" i="26" s="1"/>
  <c r="I31" i="17"/>
  <c r="I33" i="17" s="1"/>
  <c r="K15" i="20" s="1"/>
  <c r="J21" i="17"/>
  <c r="J23" i="17" s="1"/>
  <c r="D21" i="17"/>
  <c r="C31" i="17"/>
  <c r="C33" i="17" s="1"/>
  <c r="O31" i="17"/>
  <c r="CM51" i="22"/>
  <c r="CN51" i="22" s="1"/>
  <c r="CM54" i="22"/>
  <c r="CN54" i="22" s="1"/>
  <c r="CM64" i="22"/>
  <c r="CN64" i="22" s="1"/>
  <c r="CM57" i="22"/>
  <c r="CN57" i="22" s="1"/>
  <c r="C66" i="24"/>
  <c r="B66" i="24"/>
  <c r="C65" i="24"/>
  <c r="B65" i="24"/>
  <c r="C64" i="24"/>
  <c r="B64" i="24"/>
  <c r="C63" i="24"/>
  <c r="B63" i="24"/>
  <c r="C62" i="24"/>
  <c r="B62" i="24"/>
  <c r="C61" i="24"/>
  <c r="B61" i="24"/>
  <c r="C60" i="24"/>
  <c r="B60" i="24"/>
  <c r="C59" i="24"/>
  <c r="B59" i="24"/>
  <c r="C58" i="24"/>
  <c r="B58" i="24"/>
  <c r="C57" i="24"/>
  <c r="B57" i="24"/>
  <c r="C56" i="24"/>
  <c r="B56" i="24"/>
  <c r="C55" i="24"/>
  <c r="B55" i="24"/>
  <c r="C54" i="24"/>
  <c r="B54" i="24"/>
  <c r="C53" i="24"/>
  <c r="B53" i="24"/>
  <c r="C52" i="24"/>
  <c r="B52" i="24"/>
  <c r="C51" i="24"/>
  <c r="B51" i="24"/>
  <c r="C50" i="24"/>
  <c r="B50" i="24"/>
  <c r="C49" i="24"/>
  <c r="B49" i="24"/>
  <c r="C48" i="24"/>
  <c r="B48" i="24"/>
  <c r="C47" i="24"/>
  <c r="B47" i="24"/>
  <c r="C46" i="24"/>
  <c r="B46" i="24"/>
  <c r="C45" i="24"/>
  <c r="B45" i="24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14" i="24"/>
  <c r="B14" i="24"/>
  <c r="C13" i="24"/>
  <c r="B13" i="24"/>
  <c r="C12" i="24"/>
  <c r="B12" i="24"/>
  <c r="C11" i="24"/>
  <c r="B11" i="24"/>
  <c r="C10" i="24"/>
  <c r="B10" i="24"/>
  <c r="C9" i="24"/>
  <c r="B9" i="24"/>
  <c r="C8" i="24"/>
  <c r="B8" i="24"/>
  <c r="C7" i="24"/>
  <c r="B7" i="24"/>
  <c r="C6" i="24"/>
  <c r="B6" i="24"/>
  <c r="C5" i="24"/>
  <c r="B5" i="24"/>
  <c r="C4" i="24"/>
  <c r="B4" i="24"/>
  <c r="L3" i="24"/>
  <c r="C3" i="24"/>
  <c r="B3" i="24"/>
  <c r="J15" i="20" l="1"/>
  <c r="J16" i="20" s="1"/>
  <c r="F15" i="20"/>
  <c r="F16" i="20" s="1"/>
  <c r="F18" i="20" s="1"/>
  <c r="F25" i="20" s="1"/>
  <c r="D23" i="17"/>
  <c r="E15" i="20" s="1"/>
  <c r="U21" i="17"/>
  <c r="U23" i="17" s="1"/>
  <c r="K16" i="20"/>
  <c r="K18" i="20" s="1"/>
  <c r="K25" i="20" s="1"/>
  <c r="D23" i="26"/>
  <c r="U21" i="26"/>
  <c r="C33" i="26"/>
  <c r="V33" i="26" s="1"/>
  <c r="V31" i="26"/>
  <c r="W31" i="26" s="1"/>
  <c r="W33" i="26" s="1"/>
  <c r="O33" i="17"/>
  <c r="V31" i="17"/>
  <c r="CE79" i="22"/>
  <c r="CM61" i="22"/>
  <c r="CN61" i="22" s="1"/>
  <c r="CM55" i="22"/>
  <c r="CN55" i="22" s="1"/>
  <c r="CE80" i="22" s="1"/>
  <c r="CM58" i="22"/>
  <c r="CN58" i="22" s="1"/>
  <c r="G3" i="24"/>
  <c r="G5" i="24"/>
  <c r="G7" i="24"/>
  <c r="G11" i="24"/>
  <c r="G15" i="24"/>
  <c r="G19" i="24"/>
  <c r="G23" i="24"/>
  <c r="G25" i="24"/>
  <c r="G29" i="24"/>
  <c r="G33" i="24"/>
  <c r="G37" i="24"/>
  <c r="G39" i="24"/>
  <c r="G43" i="24"/>
  <c r="G47" i="24"/>
  <c r="G51" i="24"/>
  <c r="G55" i="24"/>
  <c r="G59" i="24"/>
  <c r="G63" i="24"/>
  <c r="H3" i="24"/>
  <c r="G4" i="24"/>
  <c r="G6" i="24"/>
  <c r="G8" i="24"/>
  <c r="G10" i="24"/>
  <c r="G12" i="24"/>
  <c r="G14" i="24"/>
  <c r="G16" i="24"/>
  <c r="G18" i="24"/>
  <c r="G20" i="24"/>
  <c r="G22" i="24"/>
  <c r="G24" i="24"/>
  <c r="G26" i="24"/>
  <c r="G28" i="24"/>
  <c r="G30" i="24"/>
  <c r="G32" i="24"/>
  <c r="G34" i="24"/>
  <c r="G36" i="24"/>
  <c r="G38" i="24"/>
  <c r="G40" i="24"/>
  <c r="G42" i="24"/>
  <c r="G44" i="24"/>
  <c r="G46" i="24"/>
  <c r="G48" i="24"/>
  <c r="G50" i="24"/>
  <c r="G52" i="24"/>
  <c r="G54" i="24"/>
  <c r="G56" i="24"/>
  <c r="G58" i="24"/>
  <c r="G60" i="24"/>
  <c r="G62" i="24"/>
  <c r="G64" i="24"/>
  <c r="G66" i="24"/>
  <c r="G9" i="24"/>
  <c r="G13" i="24"/>
  <c r="G17" i="24"/>
  <c r="G21" i="24"/>
  <c r="G27" i="24"/>
  <c r="G31" i="24"/>
  <c r="G35" i="24"/>
  <c r="G41" i="24"/>
  <c r="G45" i="24"/>
  <c r="G49" i="24"/>
  <c r="G53" i="24"/>
  <c r="G57" i="24"/>
  <c r="G61" i="24"/>
  <c r="G65" i="24"/>
  <c r="H4" i="24"/>
  <c r="H5" i="24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H62" i="24"/>
  <c r="H63" i="24"/>
  <c r="H64" i="24"/>
  <c r="H65" i="24"/>
  <c r="H66" i="24"/>
  <c r="W21" i="17" l="1"/>
  <c r="W23" i="17" s="1"/>
  <c r="W21" i="26"/>
  <c r="W23" i="26" s="1"/>
  <c r="U23" i="26"/>
  <c r="L15" i="20"/>
  <c r="V33" i="17"/>
  <c r="E16" i="20"/>
  <c r="W31" i="17"/>
  <c r="W33" i="17" s="1"/>
  <c r="CG79" i="22"/>
  <c r="CF79" i="22"/>
  <c r="CG80" i="22"/>
  <c r="CF80" i="22"/>
  <c r="CM59" i="22"/>
  <c r="CN59" i="22" s="1"/>
  <c r="CE81" i="22" s="1"/>
  <c r="CM63" i="22"/>
  <c r="CN63" i="22" s="1"/>
  <c r="CM62" i="22"/>
  <c r="CN62" i="22" s="1"/>
  <c r="CM65" i="22"/>
  <c r="CN65" i="22" s="1"/>
  <c r="AK9" i="22"/>
  <c r="AW9" i="22" s="1"/>
  <c r="BI9" i="22" s="1"/>
  <c r="BU9" i="22" s="1"/>
  <c r="L16" i="20" l="1"/>
  <c r="O16" i="20" s="1"/>
  <c r="O15" i="20"/>
  <c r="R15" i="20" s="1"/>
  <c r="E18" i="20"/>
  <c r="E25" i="20" s="1"/>
  <c r="CG81" i="22"/>
  <c r="CF81" i="22"/>
  <c r="BV48" i="22"/>
  <c r="BX48" i="22" s="1"/>
  <c r="BV25" i="22"/>
  <c r="BX25" i="22" s="1"/>
  <c r="BV20" i="22"/>
  <c r="BX20" i="22" s="1"/>
  <c r="BV43" i="22"/>
  <c r="BX43" i="22" s="1"/>
  <c r="BV58" i="22"/>
  <c r="BX58" i="22" s="1"/>
  <c r="BV39" i="22"/>
  <c r="BX39" i="22" s="1"/>
  <c r="BV62" i="22"/>
  <c r="BX62" i="22" s="1"/>
  <c r="BV28" i="22"/>
  <c r="BX28" i="22" s="1"/>
  <c r="BV53" i="22"/>
  <c r="BX53" i="22" s="1"/>
  <c r="BV21" i="22"/>
  <c r="BX21" i="22" s="1"/>
  <c r="BV60" i="22"/>
  <c r="BX60" i="22" s="1"/>
  <c r="BV33" i="22"/>
  <c r="BX33" i="22" s="1"/>
  <c r="BV18" i="22"/>
  <c r="BX18" i="22" s="1"/>
  <c r="BV66" i="22"/>
  <c r="BX66" i="22" s="1"/>
  <c r="BV37" i="22"/>
  <c r="BX37" i="22" s="1"/>
  <c r="BV27" i="22"/>
  <c r="BX27" i="22" s="1"/>
  <c r="BV42" i="22"/>
  <c r="BX42" i="22" s="1"/>
  <c r="BV64" i="22"/>
  <c r="BX64" i="22" s="1"/>
  <c r="BV59" i="22"/>
  <c r="BX59" i="22" s="1"/>
  <c r="BV38" i="22"/>
  <c r="BX38" i="22" s="1"/>
  <c r="BV40" i="22"/>
  <c r="BX40" i="22" s="1"/>
  <c r="BV46" i="22"/>
  <c r="BX46" i="22" s="1"/>
  <c r="BV35" i="22"/>
  <c r="BX35" i="22" s="1"/>
  <c r="BV56" i="22"/>
  <c r="BX56" i="22" s="1"/>
  <c r="BV34" i="22"/>
  <c r="BX34" i="22" s="1"/>
  <c r="BV52" i="22"/>
  <c r="BX52" i="22" s="1"/>
  <c r="BV23" i="22"/>
  <c r="BX23" i="22" s="1"/>
  <c r="BV47" i="22"/>
  <c r="BX47" i="22" s="1"/>
  <c r="BV57" i="22"/>
  <c r="BX57" i="22" s="1"/>
  <c r="BV30" i="22"/>
  <c r="BX30" i="22" s="1"/>
  <c r="BV63" i="22"/>
  <c r="BX63" i="22" s="1"/>
  <c r="BV32" i="22"/>
  <c r="BX32" i="22" s="1"/>
  <c r="BV31" i="22"/>
  <c r="BX31" i="22" s="1"/>
  <c r="BV29" i="22"/>
  <c r="BX29" i="22" s="1"/>
  <c r="BV61" i="22"/>
  <c r="BX61" i="22" s="1"/>
  <c r="BV24" i="22"/>
  <c r="BX24" i="22" s="1"/>
  <c r="BV51" i="22"/>
  <c r="BX51" i="22" s="1"/>
  <c r="BV44" i="22"/>
  <c r="BX44" i="22" s="1"/>
  <c r="BV49" i="22"/>
  <c r="BX49" i="22" s="1"/>
  <c r="BV65" i="22"/>
  <c r="BX65" i="22" s="1"/>
  <c r="BV36" i="22"/>
  <c r="BX36" i="22" s="1"/>
  <c r="BV26" i="22"/>
  <c r="BX26" i="22" s="1"/>
  <c r="BV19" i="22"/>
  <c r="BX19" i="22" s="1"/>
  <c r="BV22" i="22"/>
  <c r="BX22" i="22" s="1"/>
  <c r="BV45" i="22"/>
  <c r="BX45" i="22" s="1"/>
  <c r="BV41" i="22"/>
  <c r="BX41" i="22" s="1"/>
  <c r="BV54" i="22"/>
  <c r="BX54" i="22" s="1"/>
  <c r="BV50" i="22"/>
  <c r="BX50" i="22" s="1"/>
  <c r="BV55" i="22"/>
  <c r="BX55" i="22" s="1"/>
  <c r="CM66" i="22"/>
  <c r="CN66" i="22" s="1"/>
  <c r="AH69" i="22"/>
  <c r="V69" i="22"/>
  <c r="AH67" i="22"/>
  <c r="V67" i="22"/>
  <c r="O13" i="22"/>
  <c r="AA13" i="22" s="1"/>
  <c r="AM13" i="22" s="1"/>
  <c r="AQ1" i="22"/>
  <c r="AP1" i="22"/>
  <c r="AG1" i="22"/>
  <c r="AE1" i="22"/>
  <c r="AD1" i="22"/>
  <c r="AH1" i="22"/>
  <c r="AI1" i="22"/>
  <c r="AH15" i="22"/>
  <c r="AI18" i="22"/>
  <c r="AI19" i="22"/>
  <c r="AI20" i="22"/>
  <c r="AI21" i="22"/>
  <c r="AI22" i="22"/>
  <c r="AI23" i="22"/>
  <c r="AI24" i="22"/>
  <c r="AI25" i="22"/>
  <c r="AI26" i="22"/>
  <c r="AI27" i="22"/>
  <c r="AI28" i="22"/>
  <c r="AI29" i="22"/>
  <c r="AI30" i="22"/>
  <c r="AI31" i="22"/>
  <c r="AI32" i="22"/>
  <c r="AI33" i="22"/>
  <c r="AI34" i="22"/>
  <c r="AI35" i="22"/>
  <c r="AI36" i="22"/>
  <c r="AI37" i="22"/>
  <c r="AI38" i="22"/>
  <c r="AI39" i="22"/>
  <c r="AI40" i="22"/>
  <c r="AI41" i="22"/>
  <c r="AI42" i="22"/>
  <c r="AI43" i="22"/>
  <c r="AI44" i="22"/>
  <c r="AI45" i="22"/>
  <c r="AI46" i="22"/>
  <c r="AI47" i="22"/>
  <c r="AI48" i="22"/>
  <c r="AI49" i="22"/>
  <c r="AI50" i="22"/>
  <c r="AI51" i="22"/>
  <c r="AI52" i="22"/>
  <c r="AI53" i="22"/>
  <c r="AI54" i="22"/>
  <c r="AI55" i="22"/>
  <c r="AI56" i="22"/>
  <c r="AI57" i="22"/>
  <c r="AI58" i="22"/>
  <c r="AI59" i="22"/>
  <c r="AI60" i="22"/>
  <c r="AI61" i="22"/>
  <c r="AI62" i="22"/>
  <c r="AI63" i="22"/>
  <c r="AI64" i="22"/>
  <c r="AI65" i="22"/>
  <c r="AI66" i="22"/>
  <c r="D67" i="22"/>
  <c r="K67" i="22"/>
  <c r="R1" i="22"/>
  <c r="S1" i="22"/>
  <c r="U1" i="22"/>
  <c r="V1" i="22"/>
  <c r="W1" i="22"/>
  <c r="X1" i="22"/>
  <c r="Y1" i="22"/>
  <c r="Z1" i="22"/>
  <c r="AA1" i="22"/>
  <c r="AB1" i="22"/>
  <c r="AC1" i="22"/>
  <c r="AM72" i="22"/>
  <c r="AY72" i="22" s="1"/>
  <c r="L18" i="20" l="1"/>
  <c r="L25" i="20" s="1"/>
  <c r="O18" i="20"/>
  <c r="CE82" i="22"/>
  <c r="BY45" i="22"/>
  <c r="BY40" i="22"/>
  <c r="BY22" i="22"/>
  <c r="BU73" i="22"/>
  <c r="BY49" i="22"/>
  <c r="BY24" i="22"/>
  <c r="BY47" i="22"/>
  <c r="BR79" i="22"/>
  <c r="BY38" i="22"/>
  <c r="BY37" i="22"/>
  <c r="BR77" i="22"/>
  <c r="BY60" i="22"/>
  <c r="BY58" i="22"/>
  <c r="AY73" i="22"/>
  <c r="AY74" i="22" s="1"/>
  <c r="AY75" i="22" s="1"/>
  <c r="AY76" i="22" s="1"/>
  <c r="AY77" i="22" s="1"/>
  <c r="AY78" i="22" s="1"/>
  <c r="AY79" i="22" s="1"/>
  <c r="AY80" i="22" s="1"/>
  <c r="AY81" i="22" s="1"/>
  <c r="AY82" i="22" s="1"/>
  <c r="BK72" i="22"/>
  <c r="BY23" i="22"/>
  <c r="BR74" i="22"/>
  <c r="BY55" i="22"/>
  <c r="BY52" i="22"/>
  <c r="BR80" i="22"/>
  <c r="BY66" i="22"/>
  <c r="BU82" i="22"/>
  <c r="BY50" i="22"/>
  <c r="BY36" i="22"/>
  <c r="BU76" i="22"/>
  <c r="BY63" i="22"/>
  <c r="BY34" i="22"/>
  <c r="BY64" i="22"/>
  <c r="BY43" i="22"/>
  <c r="BY31" i="22"/>
  <c r="BU75" i="22"/>
  <c r="BY26" i="22"/>
  <c r="BU74" i="22"/>
  <c r="BY32" i="22"/>
  <c r="BR76" i="22"/>
  <c r="BY53" i="22"/>
  <c r="BY54" i="22"/>
  <c r="BY44" i="22"/>
  <c r="BY29" i="22"/>
  <c r="BY30" i="22"/>
  <c r="BY56" i="22"/>
  <c r="BU80" i="22"/>
  <c r="BY42" i="22"/>
  <c r="BR78" i="22"/>
  <c r="BY18" i="22"/>
  <c r="BR72" i="22"/>
  <c r="BX67" i="22"/>
  <c r="BY28" i="22"/>
  <c r="BY20" i="22"/>
  <c r="BR73" i="22"/>
  <c r="BY19" i="22"/>
  <c r="BU72" i="22"/>
  <c r="BY21" i="22"/>
  <c r="BU81" i="22"/>
  <c r="BY61" i="22"/>
  <c r="BY41" i="22"/>
  <c r="BU77" i="22"/>
  <c r="BY57" i="22"/>
  <c r="BR81" i="22"/>
  <c r="BY35" i="22"/>
  <c r="BY27" i="22"/>
  <c r="BR75" i="22"/>
  <c r="BY33" i="22"/>
  <c r="BY62" i="22"/>
  <c r="BR82" i="22"/>
  <c r="BY25" i="22"/>
  <c r="BY59" i="22"/>
  <c r="BY65" i="22"/>
  <c r="BY51" i="22"/>
  <c r="BU79" i="22"/>
  <c r="BY46" i="22"/>
  <c r="BU78" i="22"/>
  <c r="BY39" i="22"/>
  <c r="BY48" i="22"/>
  <c r="AY38" i="22"/>
  <c r="AY25" i="22"/>
  <c r="AY43" i="22"/>
  <c r="AY53" i="22"/>
  <c r="AY49" i="22"/>
  <c r="AY56" i="22"/>
  <c r="AY24" i="22"/>
  <c r="AY29" i="22"/>
  <c r="AY36" i="22"/>
  <c r="AY32" i="22"/>
  <c r="AY26" i="22"/>
  <c r="AY34" i="22"/>
  <c r="AY65" i="22"/>
  <c r="AY31" i="22"/>
  <c r="AY58" i="22"/>
  <c r="AY61" i="22"/>
  <c r="AY59" i="22"/>
  <c r="AY46" i="22"/>
  <c r="AY30" i="22"/>
  <c r="AY57" i="22"/>
  <c r="AY45" i="22"/>
  <c r="AY50" i="22"/>
  <c r="AY28" i="22"/>
  <c r="AY21" i="22"/>
  <c r="AY37" i="22"/>
  <c r="AY55" i="22"/>
  <c r="AY42" i="22"/>
  <c r="AY64" i="22"/>
  <c r="AY54" i="22"/>
  <c r="AY41" i="22"/>
  <c r="AY63" i="22"/>
  <c r="AY39" i="22"/>
  <c r="AY27" i="22"/>
  <c r="AY35" i="22"/>
  <c r="AY47" i="22"/>
  <c r="AY48" i="22"/>
  <c r="AY51" i="22"/>
  <c r="AY23" i="22"/>
  <c r="AY66" i="22"/>
  <c r="AY40" i="22"/>
  <c r="AY20" i="22"/>
  <c r="AY52" i="22"/>
  <c r="AY60" i="22"/>
  <c r="AY18" i="22"/>
  <c r="AY19" i="22"/>
  <c r="AY44" i="22"/>
  <c r="AY22" i="22"/>
  <c r="AY62" i="22"/>
  <c r="AY33" i="22"/>
  <c r="AK36" i="22"/>
  <c r="AK34" i="22"/>
  <c r="AK32" i="22"/>
  <c r="AK27" i="22"/>
  <c r="AM25" i="22"/>
  <c r="AK22" i="22"/>
  <c r="W66" i="22"/>
  <c r="Y66" i="22" s="1"/>
  <c r="W65" i="22"/>
  <c r="Y65" i="22" s="1"/>
  <c r="W64" i="22"/>
  <c r="Y64" i="22" s="1"/>
  <c r="W63" i="22"/>
  <c r="Y63" i="22" s="1"/>
  <c r="W62" i="22"/>
  <c r="Y62" i="22" s="1"/>
  <c r="W61" i="22"/>
  <c r="AA61" i="22" s="1"/>
  <c r="W60" i="22"/>
  <c r="Y60" i="22" s="1"/>
  <c r="W59" i="22"/>
  <c r="Y59" i="22" s="1"/>
  <c r="W58" i="22"/>
  <c r="AA58" i="22" s="1"/>
  <c r="W57" i="22"/>
  <c r="Y57" i="22" s="1"/>
  <c r="W56" i="22"/>
  <c r="Y56" i="22" s="1"/>
  <c r="W55" i="22"/>
  <c r="Y55" i="22" s="1"/>
  <c r="W54" i="22"/>
  <c r="Y54" i="22" s="1"/>
  <c r="W53" i="22"/>
  <c r="Y53" i="22" s="1"/>
  <c r="W52" i="22"/>
  <c r="Y52" i="22" s="1"/>
  <c r="W51" i="22"/>
  <c r="Y51" i="22" s="1"/>
  <c r="W50" i="22"/>
  <c r="Y50" i="22" s="1"/>
  <c r="W49" i="22"/>
  <c r="Y49" i="22" s="1"/>
  <c r="W48" i="22"/>
  <c r="Y48" i="22" s="1"/>
  <c r="W47" i="22"/>
  <c r="Y47" i="22" s="1"/>
  <c r="W46" i="22"/>
  <c r="Y46" i="22" s="1"/>
  <c r="W45" i="22"/>
  <c r="Y45" i="22" s="1"/>
  <c r="W44" i="22"/>
  <c r="Y44" i="22" s="1"/>
  <c r="W43" i="22"/>
  <c r="Y43" i="22" s="1"/>
  <c r="W42" i="22"/>
  <c r="Y42" i="22" s="1"/>
  <c r="W41" i="22"/>
  <c r="Y41" i="22" s="1"/>
  <c r="W40" i="22"/>
  <c r="Y40" i="22" s="1"/>
  <c r="W39" i="22"/>
  <c r="Y39" i="22" s="1"/>
  <c r="W38" i="22"/>
  <c r="Y38" i="22" s="1"/>
  <c r="W37" i="22"/>
  <c r="Y37" i="22" s="1"/>
  <c r="W36" i="22"/>
  <c r="Y36" i="22" s="1"/>
  <c r="W35" i="22"/>
  <c r="Y35" i="22" s="1"/>
  <c r="W34" i="22"/>
  <c r="Y34" i="22" s="1"/>
  <c r="W33" i="22"/>
  <c r="Y33" i="22" s="1"/>
  <c r="W32" i="22"/>
  <c r="Y32" i="22" s="1"/>
  <c r="W31" i="22"/>
  <c r="Y31" i="22" s="1"/>
  <c r="W30" i="22"/>
  <c r="AA30" i="22" s="1"/>
  <c r="W29" i="22"/>
  <c r="Y29" i="22" s="1"/>
  <c r="W28" i="22"/>
  <c r="Y28" i="22" s="1"/>
  <c r="W27" i="22"/>
  <c r="AA27" i="22" s="1"/>
  <c r="W26" i="22"/>
  <c r="Y26" i="22" s="1"/>
  <c r="W25" i="22"/>
  <c r="Y25" i="22" s="1"/>
  <c r="W24" i="22"/>
  <c r="Y24" i="22" s="1"/>
  <c r="W23" i="22"/>
  <c r="AA23" i="22" s="1"/>
  <c r="W22" i="22"/>
  <c r="AA22" i="22" s="1"/>
  <c r="W21" i="22"/>
  <c r="Y21" i="22" s="1"/>
  <c r="W20" i="22"/>
  <c r="Y20" i="22" s="1"/>
  <c r="W19" i="22"/>
  <c r="AA19" i="22" s="1"/>
  <c r="W18" i="22"/>
  <c r="Y18" i="22" s="1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AB6" i="22"/>
  <c r="AB5" i="22"/>
  <c r="AN6" i="22"/>
  <c r="AN5" i="22"/>
  <c r="P6" i="22"/>
  <c r="P5" i="22"/>
  <c r="I6" i="22"/>
  <c r="I5" i="22"/>
  <c r="Y10" i="22"/>
  <c r="AK10" i="22" s="1"/>
  <c r="AK66" i="22"/>
  <c r="AK65" i="22"/>
  <c r="AK64" i="22"/>
  <c r="AK63" i="22"/>
  <c r="AK62" i="22"/>
  <c r="AK61" i="22"/>
  <c r="AK60" i="22"/>
  <c r="AK59" i="22"/>
  <c r="AK58" i="22"/>
  <c r="AK57" i="22"/>
  <c r="AK56" i="22"/>
  <c r="AK55" i="22"/>
  <c r="AK54" i="22"/>
  <c r="AK53" i="22"/>
  <c r="AK52" i="22"/>
  <c r="AK51" i="22"/>
  <c r="AK50" i="22"/>
  <c r="AK49" i="22"/>
  <c r="AK48" i="22"/>
  <c r="AK47" i="22"/>
  <c r="AK46" i="22"/>
  <c r="AK45" i="22"/>
  <c r="AK44" i="22"/>
  <c r="AK43" i="22"/>
  <c r="AK42" i="22"/>
  <c r="AK41" i="22"/>
  <c r="AK40" i="22"/>
  <c r="AK39" i="22"/>
  <c r="AK38" i="22"/>
  <c r="AK37" i="22"/>
  <c r="AK35" i="22"/>
  <c r="AK33" i="22"/>
  <c r="AK31" i="22"/>
  <c r="AK30" i="22"/>
  <c r="AK29" i="22"/>
  <c r="AK28" i="22"/>
  <c r="AK26" i="22"/>
  <c r="AK25" i="22"/>
  <c r="AK24" i="22"/>
  <c r="AK23" i="22"/>
  <c r="AK21" i="22"/>
  <c r="AK20" i="22"/>
  <c r="AK19" i="22"/>
  <c r="AK18" i="22"/>
  <c r="AM73" i="22"/>
  <c r="AM74" i="22" s="1"/>
  <c r="AM75" i="22" s="1"/>
  <c r="AM76" i="22" s="1"/>
  <c r="AM77" i="22" s="1"/>
  <c r="AM78" i="22" s="1"/>
  <c r="AM79" i="22" s="1"/>
  <c r="AM80" i="22" s="1"/>
  <c r="AM81" i="22" s="1"/>
  <c r="AM82" i="22" s="1"/>
  <c r="AM59" i="22"/>
  <c r="AM58" i="22"/>
  <c r="AM56" i="22"/>
  <c r="AM54" i="22"/>
  <c r="AM44" i="22"/>
  <c r="AM43" i="22"/>
  <c r="AM41" i="22"/>
  <c r="AM26" i="22"/>
  <c r="AM23" i="22"/>
  <c r="AN15" i="22"/>
  <c r="AO1" i="22"/>
  <c r="AN1" i="22"/>
  <c r="AM1" i="22"/>
  <c r="AL1" i="22"/>
  <c r="AK1" i="22"/>
  <c r="AA73" i="22"/>
  <c r="AA74" i="22" s="1"/>
  <c r="AA75" i="22" s="1"/>
  <c r="AA76" i="22" s="1"/>
  <c r="AA77" i="22" s="1"/>
  <c r="AA78" i="22" s="1"/>
  <c r="AA79" i="22" s="1"/>
  <c r="AA80" i="22" s="1"/>
  <c r="AA81" i="22" s="1"/>
  <c r="AA82" i="22" s="1"/>
  <c r="AB15" i="22"/>
  <c r="V15" i="22"/>
  <c r="AA47" i="22" l="1"/>
  <c r="AA54" i="22"/>
  <c r="AA57" i="22"/>
  <c r="AA50" i="22"/>
  <c r="CG82" i="22"/>
  <c r="CF82" i="22"/>
  <c r="BJ38" i="22"/>
  <c r="BL38" i="22" s="1"/>
  <c r="BZ38" i="22" s="1"/>
  <c r="CA38" i="22" s="1"/>
  <c r="BJ31" i="22"/>
  <c r="BL31" i="22" s="1"/>
  <c r="BZ31" i="22" s="1"/>
  <c r="CA31" i="22" s="1"/>
  <c r="BJ36" i="22"/>
  <c r="BL36" i="22" s="1"/>
  <c r="BZ36" i="22" s="1"/>
  <c r="CA36" i="22" s="1"/>
  <c r="BJ50" i="22"/>
  <c r="BL50" i="22" s="1"/>
  <c r="BZ50" i="22" s="1"/>
  <c r="CA50" i="22" s="1"/>
  <c r="BJ40" i="22"/>
  <c r="BL40" i="22" s="1"/>
  <c r="BZ40" i="22" s="1"/>
  <c r="CA40" i="22" s="1"/>
  <c r="BJ54" i="22"/>
  <c r="BL54" i="22" s="1"/>
  <c r="BZ54" i="22" s="1"/>
  <c r="CA54" i="22" s="1"/>
  <c r="BJ43" i="22"/>
  <c r="BL43" i="22" s="1"/>
  <c r="BZ43" i="22" s="1"/>
  <c r="CA43" i="22" s="1"/>
  <c r="BJ66" i="22"/>
  <c r="BL66" i="22" s="1"/>
  <c r="BZ66" i="22" s="1"/>
  <c r="CA66" i="22" s="1"/>
  <c r="BJ20" i="22"/>
  <c r="BL20" i="22" s="1"/>
  <c r="BZ20" i="22" s="1"/>
  <c r="BJ35" i="22"/>
  <c r="BL35" i="22" s="1"/>
  <c r="BZ35" i="22" s="1"/>
  <c r="CA35" i="22" s="1"/>
  <c r="BJ27" i="22"/>
  <c r="BL27" i="22" s="1"/>
  <c r="BZ27" i="22" s="1"/>
  <c r="BJ26" i="22"/>
  <c r="BL26" i="22" s="1"/>
  <c r="BZ26" i="22" s="1"/>
  <c r="CA26" i="22" s="1"/>
  <c r="BJ24" i="22"/>
  <c r="BJ51" i="22"/>
  <c r="BL51" i="22" s="1"/>
  <c r="BZ51" i="22" s="1"/>
  <c r="CA51" i="22" s="1"/>
  <c r="BJ45" i="22"/>
  <c r="BL45" i="22" s="1"/>
  <c r="BJ48" i="22"/>
  <c r="BL48" i="22" s="1"/>
  <c r="BZ48" i="22" s="1"/>
  <c r="CA48" i="22" s="1"/>
  <c r="BJ25" i="22"/>
  <c r="BL25" i="22" s="1"/>
  <c r="BZ25" i="22" s="1"/>
  <c r="CA25" i="22" s="1"/>
  <c r="BJ39" i="22"/>
  <c r="BL39" i="22" s="1"/>
  <c r="BZ39" i="22" s="1"/>
  <c r="CA39" i="22" s="1"/>
  <c r="BJ55" i="22"/>
  <c r="BL55" i="22" s="1"/>
  <c r="BZ55" i="22" s="1"/>
  <c r="CA55" i="22" s="1"/>
  <c r="BJ58" i="22"/>
  <c r="BL58" i="22" s="1"/>
  <c r="BZ58" i="22" s="1"/>
  <c r="CA58" i="22" s="1"/>
  <c r="BJ21" i="22"/>
  <c r="BJ53" i="22"/>
  <c r="BL53" i="22" s="1"/>
  <c r="BZ53" i="22" s="1"/>
  <c r="CA53" i="22" s="1"/>
  <c r="BJ56" i="22"/>
  <c r="BL56" i="22" s="1"/>
  <c r="BZ56" i="22" s="1"/>
  <c r="CA56" i="22" s="1"/>
  <c r="BJ34" i="22"/>
  <c r="BL34" i="22" s="1"/>
  <c r="BZ34" i="22" s="1"/>
  <c r="CA34" i="22" s="1"/>
  <c r="BJ62" i="22"/>
  <c r="BL62" i="22" s="1"/>
  <c r="BZ62" i="22" s="1"/>
  <c r="BJ46" i="22"/>
  <c r="BL46" i="22" s="1"/>
  <c r="BZ46" i="22" s="1"/>
  <c r="CA46" i="22" s="1"/>
  <c r="BJ60" i="22"/>
  <c r="BL60" i="22" s="1"/>
  <c r="BZ60" i="22" s="1"/>
  <c r="CA60" i="22" s="1"/>
  <c r="BJ41" i="22"/>
  <c r="BL41" i="22" s="1"/>
  <c r="BZ41" i="22" s="1"/>
  <c r="CA41" i="22" s="1"/>
  <c r="BJ32" i="22"/>
  <c r="BL32" i="22" s="1"/>
  <c r="BZ32" i="22" s="1"/>
  <c r="BJ65" i="22"/>
  <c r="BL65" i="22" s="1"/>
  <c r="BZ65" i="22" s="1"/>
  <c r="CA65" i="22" s="1"/>
  <c r="BJ63" i="22"/>
  <c r="BL63" i="22" s="1"/>
  <c r="BZ63" i="22" s="1"/>
  <c r="CA63" i="22" s="1"/>
  <c r="BJ18" i="22"/>
  <c r="BL18" i="22" s="1"/>
  <c r="BZ18" i="22" s="1"/>
  <c r="BJ44" i="22"/>
  <c r="BL44" i="22" s="1"/>
  <c r="BZ44" i="22" s="1"/>
  <c r="CA44" i="22" s="1"/>
  <c r="BJ64" i="22"/>
  <c r="BL64" i="22" s="1"/>
  <c r="BZ64" i="22" s="1"/>
  <c r="CA64" i="22" s="1"/>
  <c r="BJ33" i="22"/>
  <c r="BL33" i="22" s="1"/>
  <c r="BZ33" i="22" s="1"/>
  <c r="CA33" i="22" s="1"/>
  <c r="BJ37" i="22"/>
  <c r="BL37" i="22" s="1"/>
  <c r="BZ37" i="22" s="1"/>
  <c r="BJ23" i="22"/>
  <c r="BL23" i="22" s="1"/>
  <c r="BZ23" i="22" s="1"/>
  <c r="BJ61" i="22"/>
  <c r="BL61" i="22" s="1"/>
  <c r="BZ61" i="22" s="1"/>
  <c r="CA61" i="22" s="1"/>
  <c r="BJ49" i="22"/>
  <c r="BL49" i="22" s="1"/>
  <c r="BZ49" i="22" s="1"/>
  <c r="CA49" i="22" s="1"/>
  <c r="BJ30" i="22"/>
  <c r="BL30" i="22" s="1"/>
  <c r="BZ30" i="22" s="1"/>
  <c r="CA30" i="22" s="1"/>
  <c r="BJ57" i="22"/>
  <c r="BL57" i="22" s="1"/>
  <c r="BZ57" i="22" s="1"/>
  <c r="BJ47" i="22"/>
  <c r="BL47" i="22" s="1"/>
  <c r="BZ47" i="22" s="1"/>
  <c r="BJ19" i="22"/>
  <c r="BJ59" i="22"/>
  <c r="BL59" i="22" s="1"/>
  <c r="BZ59" i="22" s="1"/>
  <c r="CA59" i="22" s="1"/>
  <c r="BJ29" i="22"/>
  <c r="BL29" i="22" s="1"/>
  <c r="BZ29" i="22" s="1"/>
  <c r="CA29" i="22" s="1"/>
  <c r="BJ42" i="22"/>
  <c r="BL42" i="22" s="1"/>
  <c r="BZ42" i="22" s="1"/>
  <c r="BJ22" i="22"/>
  <c r="BL22" i="22" s="1"/>
  <c r="BZ22" i="22" s="1"/>
  <c r="CA22" i="22" s="1"/>
  <c r="BJ52" i="22"/>
  <c r="BL52" i="22" s="1"/>
  <c r="BZ52" i="22" s="1"/>
  <c r="BJ28" i="22"/>
  <c r="BL28" i="22" s="1"/>
  <c r="BZ28" i="22" s="1"/>
  <c r="CA28" i="22" s="1"/>
  <c r="AA32" i="22"/>
  <c r="AA36" i="22"/>
  <c r="BK73" i="22"/>
  <c r="BK74" i="22" s="1"/>
  <c r="BK75" i="22" s="1"/>
  <c r="BK76" i="22" s="1"/>
  <c r="BK77" i="22" s="1"/>
  <c r="BK78" i="22" s="1"/>
  <c r="BK79" i="22" s="1"/>
  <c r="BK80" i="22" s="1"/>
  <c r="BK81" i="22" s="1"/>
  <c r="BK82" i="22" s="1"/>
  <c r="BW72" i="22"/>
  <c r="BL24" i="22"/>
  <c r="BZ24" i="22" s="1"/>
  <c r="CA24" i="22" s="1"/>
  <c r="BL21" i="22"/>
  <c r="BZ21" i="22" s="1"/>
  <c r="CA21" i="22" s="1"/>
  <c r="BL19" i="22"/>
  <c r="BZ19" i="22" s="1"/>
  <c r="CA19" i="22" s="1"/>
  <c r="AA29" i="22"/>
  <c r="AA49" i="22"/>
  <c r="AA31" i="22"/>
  <c r="AX58" i="22"/>
  <c r="AZ58" i="22" s="1"/>
  <c r="AX20" i="22"/>
  <c r="AZ20" i="22" s="1"/>
  <c r="AX38" i="22"/>
  <c r="AZ38" i="22" s="1"/>
  <c r="AX39" i="22"/>
  <c r="AZ39" i="22" s="1"/>
  <c r="AX21" i="22"/>
  <c r="AZ21" i="22" s="1"/>
  <c r="AX26" i="22"/>
  <c r="AZ26" i="22" s="1"/>
  <c r="AX46" i="22"/>
  <c r="AZ46" i="22" s="1"/>
  <c r="AX32" i="22"/>
  <c r="AZ32" i="22" s="1"/>
  <c r="AX49" i="22"/>
  <c r="AZ49" i="22" s="1"/>
  <c r="AX59" i="22"/>
  <c r="AZ59" i="22" s="1"/>
  <c r="AX41" i="22"/>
  <c r="AZ41" i="22" s="1"/>
  <c r="AX43" i="22"/>
  <c r="AZ43" i="22" s="1"/>
  <c r="AX57" i="22"/>
  <c r="AZ57" i="22" s="1"/>
  <c r="AX29" i="22"/>
  <c r="AZ29" i="22" s="1"/>
  <c r="AX24" i="22"/>
  <c r="AZ24" i="22" s="1"/>
  <c r="AX56" i="22"/>
  <c r="AZ56" i="22" s="1"/>
  <c r="AX44" i="22"/>
  <c r="AZ44" i="22" s="1"/>
  <c r="AX31" i="22"/>
  <c r="AZ31" i="22" s="1"/>
  <c r="AX19" i="22"/>
  <c r="AZ19" i="22" s="1"/>
  <c r="AX53" i="22"/>
  <c r="AZ53" i="22" s="1"/>
  <c r="AX64" i="22"/>
  <c r="AZ64" i="22" s="1"/>
  <c r="AX23" i="22"/>
  <c r="AZ23" i="22" s="1"/>
  <c r="AX40" i="22"/>
  <c r="AZ40" i="22" s="1"/>
  <c r="AX63" i="22"/>
  <c r="AZ63" i="22" s="1"/>
  <c r="AX66" i="22"/>
  <c r="AZ66" i="22" s="1"/>
  <c r="AX54" i="22"/>
  <c r="AZ54" i="22" s="1"/>
  <c r="AX25" i="22"/>
  <c r="AZ25" i="22" s="1"/>
  <c r="AX18" i="22"/>
  <c r="AZ18" i="22" s="1"/>
  <c r="AX35" i="22"/>
  <c r="AZ35" i="22" s="1"/>
  <c r="AX61" i="22"/>
  <c r="AZ61" i="22" s="1"/>
  <c r="AX65" i="22"/>
  <c r="AZ65" i="22" s="1"/>
  <c r="AX33" i="22"/>
  <c r="AZ33" i="22" s="1"/>
  <c r="AX34" i="22"/>
  <c r="AZ34" i="22" s="1"/>
  <c r="AX62" i="22"/>
  <c r="AZ62" i="22" s="1"/>
  <c r="AX36" i="22"/>
  <c r="AZ36" i="22" s="1"/>
  <c r="AX47" i="22"/>
  <c r="AZ47" i="22" s="1"/>
  <c r="AX22" i="22"/>
  <c r="AZ22" i="22" s="1"/>
  <c r="AX50" i="22"/>
  <c r="AZ50" i="22" s="1"/>
  <c r="AX37" i="22"/>
  <c r="AZ37" i="22" s="1"/>
  <c r="AX60" i="22"/>
  <c r="AZ60" i="22" s="1"/>
  <c r="AX52" i="22"/>
  <c r="AZ52" i="22" s="1"/>
  <c r="AX27" i="22"/>
  <c r="AZ27" i="22" s="1"/>
  <c r="AX55" i="22"/>
  <c r="AZ55" i="22" s="1"/>
  <c r="AX30" i="22"/>
  <c r="AZ30" i="22" s="1"/>
  <c r="AX28" i="22"/>
  <c r="AZ28" i="22" s="1"/>
  <c r="AX48" i="22"/>
  <c r="AZ48" i="22" s="1"/>
  <c r="AX45" i="22"/>
  <c r="AZ45" i="22" s="1"/>
  <c r="AX42" i="22"/>
  <c r="AZ42" i="22" s="1"/>
  <c r="AX51" i="22"/>
  <c r="AZ51" i="22" s="1"/>
  <c r="Z41" i="22"/>
  <c r="Z54" i="22"/>
  <c r="Y58" i="22"/>
  <c r="Z58" i="22" s="1"/>
  <c r="Z25" i="22"/>
  <c r="AA51" i="22"/>
  <c r="Z49" i="22"/>
  <c r="Y61" i="22"/>
  <c r="Z61" i="22" s="1"/>
  <c r="AB61" i="22" s="1"/>
  <c r="Z63" i="22"/>
  <c r="AA21" i="22"/>
  <c r="AA37" i="22"/>
  <c r="AA64" i="22"/>
  <c r="Y30" i="22"/>
  <c r="Z30" i="22" s="1"/>
  <c r="AB30" i="22" s="1"/>
  <c r="AA25" i="22"/>
  <c r="AA39" i="22"/>
  <c r="AA44" i="22"/>
  <c r="Y19" i="22"/>
  <c r="Z19" i="22" s="1"/>
  <c r="Y23" i="22"/>
  <c r="Z23" i="22" s="1"/>
  <c r="Z20" i="22"/>
  <c r="Z45" i="22"/>
  <c r="AA18" i="22"/>
  <c r="AA38" i="22"/>
  <c r="AA41" i="22"/>
  <c r="AA48" i="22"/>
  <c r="Z35" i="22"/>
  <c r="Z29" i="22"/>
  <c r="Z38" i="22"/>
  <c r="Z18" i="22"/>
  <c r="AL20" i="22"/>
  <c r="AL25" i="22"/>
  <c r="AN25" i="22" s="1"/>
  <c r="AL28" i="22"/>
  <c r="AL31" i="22"/>
  <c r="AL40" i="22"/>
  <c r="AL47" i="22"/>
  <c r="AL50" i="22"/>
  <c r="AL57" i="22"/>
  <c r="AL60" i="22"/>
  <c r="Z24" i="22"/>
  <c r="Z37" i="22"/>
  <c r="Z43" i="22"/>
  <c r="Z48" i="22"/>
  <c r="Z52" i="22"/>
  <c r="Z56" i="22"/>
  <c r="Z65" i="22"/>
  <c r="AL27" i="22"/>
  <c r="AL36" i="22"/>
  <c r="AL18" i="22"/>
  <c r="AK67" i="22"/>
  <c r="AL19" i="22"/>
  <c r="AL24" i="22"/>
  <c r="AL37" i="22"/>
  <c r="AL43" i="22"/>
  <c r="AN43" i="22" s="1"/>
  <c r="AL46" i="22"/>
  <c r="AL49" i="22"/>
  <c r="AL53" i="22"/>
  <c r="AL56" i="22"/>
  <c r="AN56" i="22" s="1"/>
  <c r="AK80" i="22" s="1"/>
  <c r="AL59" i="22"/>
  <c r="AN59" i="22" s="1"/>
  <c r="AL63" i="22"/>
  <c r="AL66" i="22"/>
  <c r="Z21" i="22"/>
  <c r="Z26" i="22"/>
  <c r="Z33" i="22"/>
  <c r="Z39" i="22"/>
  <c r="Z42" i="22"/>
  <c r="Z46" i="22"/>
  <c r="Z51" i="22"/>
  <c r="Z55" i="22"/>
  <c r="Z59" i="22"/>
  <c r="Z64" i="22"/>
  <c r="AL34" i="22"/>
  <c r="AL21" i="22"/>
  <c r="AL26" i="22"/>
  <c r="AN26" i="22" s="1"/>
  <c r="AK74" i="22" s="1"/>
  <c r="AL30" i="22"/>
  <c r="AL33" i="22"/>
  <c r="AL39" i="22"/>
  <c r="AL42" i="22"/>
  <c r="AL45" i="22"/>
  <c r="AL52" i="22"/>
  <c r="AL55" i="22"/>
  <c r="AL62" i="22"/>
  <c r="AL65" i="22"/>
  <c r="Z32" i="22"/>
  <c r="Z34" i="22"/>
  <c r="Z36" i="22"/>
  <c r="Z47" i="22"/>
  <c r="AB47" i="22" s="1"/>
  <c r="Z50" i="22"/>
  <c r="Z57" i="22"/>
  <c r="Z60" i="22"/>
  <c r="AL32" i="22"/>
  <c r="AL23" i="22"/>
  <c r="AN23" i="22" s="1"/>
  <c r="AL29" i="22"/>
  <c r="AL35" i="22"/>
  <c r="AL38" i="22"/>
  <c r="AL41" i="22"/>
  <c r="AN41" i="22" s="1"/>
  <c r="AK77" i="22" s="1"/>
  <c r="AL44" i="22"/>
  <c r="AN44" i="22" s="1"/>
  <c r="AL48" i="22"/>
  <c r="AL51" i="22"/>
  <c r="AL54" i="22"/>
  <c r="AN54" i="22" s="1"/>
  <c r="AL58" i="22"/>
  <c r="AN58" i="22" s="1"/>
  <c r="AL61" i="22"/>
  <c r="AL64" i="22"/>
  <c r="Z28" i="22"/>
  <c r="Z31" i="22"/>
  <c r="Z40" i="22"/>
  <c r="Z44" i="22"/>
  <c r="Z53" i="22"/>
  <c r="Z62" i="22"/>
  <c r="Z66" i="22"/>
  <c r="AL22" i="22"/>
  <c r="AA34" i="22"/>
  <c r="Y22" i="22"/>
  <c r="Z22" i="22" s="1"/>
  <c r="Y27" i="22"/>
  <c r="Z27" i="22" s="1"/>
  <c r="AA26" i="22"/>
  <c r="AA56" i="22"/>
  <c r="AA24" i="22"/>
  <c r="AA53" i="22"/>
  <c r="AM53" i="22"/>
  <c r="AM51" i="22"/>
  <c r="AM48" i="22"/>
  <c r="AM49" i="22"/>
  <c r="AM46" i="22"/>
  <c r="AM40" i="22"/>
  <c r="AM39" i="22"/>
  <c r="AM38" i="22"/>
  <c r="AM37" i="22"/>
  <c r="AM31" i="22"/>
  <c r="AM30" i="22"/>
  <c r="AM29" i="22"/>
  <c r="AM24" i="22"/>
  <c r="AM21" i="22"/>
  <c r="AM19" i="22"/>
  <c r="AM18" i="22"/>
  <c r="AM61" i="22"/>
  <c r="AM63" i="22"/>
  <c r="AM64" i="22"/>
  <c r="AM66" i="22"/>
  <c r="AA66" i="22"/>
  <c r="AA63" i="22"/>
  <c r="AA60" i="22"/>
  <c r="AA59" i="22"/>
  <c r="AA46" i="22"/>
  <c r="AA43" i="22"/>
  <c r="AA40" i="22"/>
  <c r="AM22" i="22"/>
  <c r="AM27" i="22"/>
  <c r="AM32" i="22"/>
  <c r="AM34" i="22"/>
  <c r="AM36" i="22"/>
  <c r="AM47" i="22"/>
  <c r="AM50" i="22"/>
  <c r="AM57" i="22"/>
  <c r="AM60" i="22"/>
  <c r="AM20" i="22"/>
  <c r="AM28" i="22"/>
  <c r="AM33" i="22"/>
  <c r="AM35" i="22"/>
  <c r="AM42" i="22"/>
  <c r="AM45" i="22"/>
  <c r="AM52" i="22"/>
  <c r="AM55" i="22"/>
  <c r="AM62" i="22"/>
  <c r="AM65" i="22"/>
  <c r="AA20" i="22"/>
  <c r="AA28" i="22"/>
  <c r="AA33" i="22"/>
  <c r="AA35" i="22"/>
  <c r="AA42" i="22"/>
  <c r="AA45" i="22"/>
  <c r="AA52" i="22"/>
  <c r="AA55" i="22"/>
  <c r="AA62" i="22"/>
  <c r="AA65" i="22"/>
  <c r="AN18" i="22" l="1"/>
  <c r="AB29" i="22"/>
  <c r="AB57" i="22"/>
  <c r="AB36" i="22"/>
  <c r="AB35" i="22"/>
  <c r="AB32" i="22"/>
  <c r="AB31" i="22"/>
  <c r="Y75" i="22" s="1"/>
  <c r="AB50" i="22"/>
  <c r="AB64" i="22"/>
  <c r="BB59" i="22"/>
  <c r="BC59" i="22" s="1"/>
  <c r="CA37" i="22"/>
  <c r="CB41" i="22"/>
  <c r="CA62" i="22"/>
  <c r="CB66" i="22"/>
  <c r="CA27" i="22"/>
  <c r="CB31" i="22"/>
  <c r="CA42" i="22"/>
  <c r="CB61" i="22"/>
  <c r="CA57" i="22"/>
  <c r="BN45" i="22"/>
  <c r="BO45" i="22" s="1"/>
  <c r="BZ45" i="22"/>
  <c r="CA45" i="22" s="1"/>
  <c r="CA52" i="22"/>
  <c r="CB56" i="22"/>
  <c r="CA18" i="22"/>
  <c r="CB19" i="22"/>
  <c r="CA23" i="22"/>
  <c r="CB26" i="22"/>
  <c r="AB49" i="22"/>
  <c r="CA47" i="22"/>
  <c r="CB51" i="22"/>
  <c r="CA20" i="22"/>
  <c r="BW73" i="22"/>
  <c r="BW74" i="22" s="1"/>
  <c r="BW75" i="22" s="1"/>
  <c r="BW76" i="22" s="1"/>
  <c r="BW77" i="22" s="1"/>
  <c r="BW78" i="22" s="1"/>
  <c r="BW79" i="22" s="1"/>
  <c r="BW80" i="22" s="1"/>
  <c r="BW81" i="22" s="1"/>
  <c r="BW82" i="22" s="1"/>
  <c r="CJ72" i="22"/>
  <c r="CJ73" i="22" s="1"/>
  <c r="CJ74" i="22" s="1"/>
  <c r="CJ75" i="22" s="1"/>
  <c r="CJ76" i="22" s="1"/>
  <c r="CJ77" i="22" s="1"/>
  <c r="CJ78" i="22" s="1"/>
  <c r="CJ79" i="22" s="1"/>
  <c r="CJ80" i="22" s="1"/>
  <c r="CJ81" i="22" s="1"/>
  <c r="CJ82" i="22" s="1"/>
  <c r="AB25" i="22"/>
  <c r="AP25" i="22" s="1"/>
  <c r="AQ25" i="22" s="1"/>
  <c r="CA32" i="22"/>
  <c r="CB36" i="22"/>
  <c r="BN50" i="22"/>
  <c r="BO50" i="22" s="1"/>
  <c r="BN44" i="22"/>
  <c r="BO44" i="22" s="1"/>
  <c r="BN35" i="22"/>
  <c r="BO35" i="22" s="1"/>
  <c r="BN59" i="22"/>
  <c r="BO59" i="22" s="1"/>
  <c r="BN33" i="22"/>
  <c r="BO33" i="22" s="1"/>
  <c r="BN29" i="22"/>
  <c r="BO29" i="22" s="1"/>
  <c r="BN19" i="22"/>
  <c r="BO19" i="22" s="1"/>
  <c r="BI72" i="22"/>
  <c r="BN60" i="22"/>
  <c r="BO60" i="22" s="1"/>
  <c r="BN58" i="22"/>
  <c r="BO58" i="22" s="1"/>
  <c r="BF77" i="22"/>
  <c r="BN41" i="22"/>
  <c r="BO41" i="22" s="1"/>
  <c r="BI77" i="22"/>
  <c r="BN37" i="22"/>
  <c r="BN64" i="22"/>
  <c r="BO64" i="22" s="1"/>
  <c r="BI79" i="22"/>
  <c r="BN51" i="22"/>
  <c r="BO51" i="22" s="1"/>
  <c r="BN42" i="22"/>
  <c r="BF78" i="22"/>
  <c r="BN52" i="22"/>
  <c r="BF80" i="22"/>
  <c r="BN62" i="22"/>
  <c r="BF82" i="22"/>
  <c r="BN53" i="22"/>
  <c r="BO53" i="22" s="1"/>
  <c r="BI80" i="22"/>
  <c r="BN56" i="22"/>
  <c r="BO56" i="22" s="1"/>
  <c r="BI75" i="22"/>
  <c r="BN31" i="22"/>
  <c r="BO31" i="22" s="1"/>
  <c r="BN24" i="22"/>
  <c r="BO24" i="22" s="1"/>
  <c r="BN34" i="22"/>
  <c r="BO34" i="22" s="1"/>
  <c r="BN23" i="22"/>
  <c r="BF74" i="22"/>
  <c r="BN38" i="22"/>
  <c r="BO38" i="22" s="1"/>
  <c r="BI78" i="22"/>
  <c r="BN46" i="22"/>
  <c r="BO46" i="22" s="1"/>
  <c r="BI73" i="22"/>
  <c r="BN22" i="22"/>
  <c r="BO22" i="22" s="1"/>
  <c r="BN65" i="22"/>
  <c r="BO65" i="22" s="1"/>
  <c r="BI76" i="22"/>
  <c r="BN36" i="22"/>
  <c r="BO36" i="22" s="1"/>
  <c r="BN40" i="22"/>
  <c r="BO40" i="22" s="1"/>
  <c r="BN32" i="22"/>
  <c r="BF76" i="22"/>
  <c r="BN55" i="22"/>
  <c r="BO55" i="22" s="1"/>
  <c r="BN27" i="22"/>
  <c r="BF75" i="22"/>
  <c r="BF81" i="22"/>
  <c r="BN57" i="22"/>
  <c r="BN30" i="22"/>
  <c r="BO30" i="22" s="1"/>
  <c r="BN49" i="22"/>
  <c r="BO49" i="22" s="1"/>
  <c r="BN21" i="22"/>
  <c r="BO21" i="22" s="1"/>
  <c r="BN39" i="22"/>
  <c r="BO39" i="22" s="1"/>
  <c r="BN26" i="22"/>
  <c r="BO26" i="22" s="1"/>
  <c r="BI74" i="22"/>
  <c r="BN25" i="22"/>
  <c r="BO25" i="22" s="1"/>
  <c r="BN43" i="22"/>
  <c r="BO43" i="22" s="1"/>
  <c r="BN66" i="22"/>
  <c r="BO66" i="22" s="1"/>
  <c r="BI82" i="22"/>
  <c r="BN47" i="22"/>
  <c r="BF79" i="22"/>
  <c r="BI81" i="22"/>
  <c r="BN61" i="22"/>
  <c r="BO61" i="22" s="1"/>
  <c r="BN54" i="22"/>
  <c r="BO54" i="22" s="1"/>
  <c r="BF73" i="22"/>
  <c r="BN20" i="22"/>
  <c r="BN18" i="22"/>
  <c r="BF72" i="22"/>
  <c r="BL67" i="22"/>
  <c r="BN48" i="22"/>
  <c r="BO48" i="22" s="1"/>
  <c r="BN28" i="22"/>
  <c r="BO28" i="22" s="1"/>
  <c r="BN63" i="22"/>
  <c r="BO63" i="22" s="1"/>
  <c r="AB56" i="22"/>
  <c r="AP56" i="22" s="1"/>
  <c r="AQ56" i="22" s="1"/>
  <c r="AB38" i="22"/>
  <c r="BB18" i="22"/>
  <c r="AT72" i="22"/>
  <c r="AZ67" i="22"/>
  <c r="AW72" i="22"/>
  <c r="BB56" i="22"/>
  <c r="BC56" i="22" s="1"/>
  <c r="AW80" i="22"/>
  <c r="BB41" i="22"/>
  <c r="BC41" i="22" s="1"/>
  <c r="AW77" i="22"/>
  <c r="AN64" i="22"/>
  <c r="BB25" i="22"/>
  <c r="BC25" i="22" s="1"/>
  <c r="AT75" i="22"/>
  <c r="BA22" i="22"/>
  <c r="AW73" i="22"/>
  <c r="BB54" i="22"/>
  <c r="BC54" i="22" s="1"/>
  <c r="AW75" i="22"/>
  <c r="AB65" i="22"/>
  <c r="AW74" i="22"/>
  <c r="BB26" i="22"/>
  <c r="BC26" i="22" s="1"/>
  <c r="AW82" i="22"/>
  <c r="AT79" i="22"/>
  <c r="AW81" i="22"/>
  <c r="AN52" i="22"/>
  <c r="BB52" i="22" s="1"/>
  <c r="AW78" i="22"/>
  <c r="AW79" i="22"/>
  <c r="AT73" i="22"/>
  <c r="BA36" i="22"/>
  <c r="AW76" i="22"/>
  <c r="AT81" i="22"/>
  <c r="AB18" i="22"/>
  <c r="AP18" i="22" s="1"/>
  <c r="AQ18" i="22" s="1"/>
  <c r="AT80" i="22"/>
  <c r="AT82" i="22"/>
  <c r="AT76" i="22"/>
  <c r="AB41" i="22"/>
  <c r="Y77" i="22" s="1"/>
  <c r="AT78" i="22"/>
  <c r="BB23" i="22"/>
  <c r="AT74" i="22"/>
  <c r="BB43" i="22"/>
  <c r="BC43" i="22" s="1"/>
  <c r="AB37" i="22"/>
  <c r="AT77" i="22"/>
  <c r="BB44" i="22"/>
  <c r="BC44" i="22" s="1"/>
  <c r="BB58" i="22"/>
  <c r="BC58" i="22" s="1"/>
  <c r="AB26" i="22"/>
  <c r="Y74" i="22" s="1"/>
  <c r="AB39" i="22"/>
  <c r="AB21" i="22"/>
  <c r="AB45" i="22"/>
  <c r="AN46" i="22"/>
  <c r="AK78" i="22" s="1"/>
  <c r="AN60" i="22"/>
  <c r="BB60" i="22" s="1"/>
  <c r="BC60" i="22" s="1"/>
  <c r="AN47" i="22"/>
  <c r="BB47" i="22" s="1"/>
  <c r="AN27" i="22"/>
  <c r="BB27" i="22" s="1"/>
  <c r="AN33" i="22"/>
  <c r="BB33" i="22" s="1"/>
  <c r="BC33" i="22" s="1"/>
  <c r="AB60" i="22"/>
  <c r="AN48" i="22"/>
  <c r="BB48" i="22" s="1"/>
  <c r="BC48" i="22" s="1"/>
  <c r="AN31" i="22"/>
  <c r="AK75" i="22" s="1"/>
  <c r="AN50" i="22"/>
  <c r="AN36" i="22"/>
  <c r="AK76" i="22" s="1"/>
  <c r="AB27" i="22"/>
  <c r="AB43" i="22"/>
  <c r="AP43" i="22" s="1"/>
  <c r="AQ43" i="22" s="1"/>
  <c r="AN61" i="22"/>
  <c r="AK81" i="22" s="1"/>
  <c r="AN24" i="22"/>
  <c r="BB24" i="22" s="1"/>
  <c r="BC24" i="22" s="1"/>
  <c r="AN49" i="22"/>
  <c r="AN21" i="22"/>
  <c r="AN39" i="22"/>
  <c r="BB39" i="22" s="1"/>
  <c r="BC39" i="22" s="1"/>
  <c r="AN66" i="22"/>
  <c r="AK82" i="22" s="1"/>
  <c r="AN22" i="22"/>
  <c r="AK73" i="22" s="1"/>
  <c r="AN55" i="22"/>
  <c r="BB55" i="22" s="1"/>
  <c r="BC55" i="22" s="1"/>
  <c r="AN30" i="22"/>
  <c r="AP30" i="22" s="1"/>
  <c r="AQ30" i="22" s="1"/>
  <c r="AN29" i="22"/>
  <c r="AP29" i="22" s="1"/>
  <c r="AQ29" i="22" s="1"/>
  <c r="AN53" i="22"/>
  <c r="BB53" i="22" s="1"/>
  <c r="BC53" i="22" s="1"/>
  <c r="AB24" i="22"/>
  <c r="AB40" i="22"/>
  <c r="AN19" i="22"/>
  <c r="AK72" i="22" s="1"/>
  <c r="AB34" i="22"/>
  <c r="AN51" i="22"/>
  <c r="AK79" i="22" s="1"/>
  <c r="AN40" i="22"/>
  <c r="BB40" i="22" s="1"/>
  <c r="BC40" i="22" s="1"/>
  <c r="AB53" i="22"/>
  <c r="AB59" i="22"/>
  <c r="AP59" i="22" s="1"/>
  <c r="AQ59" i="22" s="1"/>
  <c r="AN38" i="22"/>
  <c r="Y67" i="22"/>
  <c r="AN57" i="22"/>
  <c r="AP57" i="22" s="1"/>
  <c r="AQ57" i="22" s="1"/>
  <c r="AN34" i="22"/>
  <c r="BB34" i="22" s="1"/>
  <c r="BC34" i="22" s="1"/>
  <c r="AN63" i="22"/>
  <c r="BB63" i="22" s="1"/>
  <c r="BC63" i="22" s="1"/>
  <c r="Y81" i="22"/>
  <c r="Y76" i="22"/>
  <c r="AB48" i="22"/>
  <c r="AB58" i="22"/>
  <c r="AP58" i="22" s="1"/>
  <c r="AQ58" i="22" s="1"/>
  <c r="AB51" i="22"/>
  <c r="AB66" i="22"/>
  <c r="AB46" i="22"/>
  <c r="AB63" i="22"/>
  <c r="AN45" i="22"/>
  <c r="BB45" i="22" s="1"/>
  <c r="BC45" i="22" s="1"/>
  <c r="AN42" i="22"/>
  <c r="BB42" i="22" s="1"/>
  <c r="AN37" i="22"/>
  <c r="BB37" i="22" s="1"/>
  <c r="AN35" i="22"/>
  <c r="AN32" i="22"/>
  <c r="AN65" i="22"/>
  <c r="BB65" i="22" s="1"/>
  <c r="BC65" i="22" s="1"/>
  <c r="AB52" i="22"/>
  <c r="AB44" i="22"/>
  <c r="AP44" i="22" s="1"/>
  <c r="AQ44" i="22" s="1"/>
  <c r="AB23" i="22"/>
  <c r="AP23" i="22" s="1"/>
  <c r="AQ23" i="22" s="1"/>
  <c r="AB22" i="22"/>
  <c r="AN62" i="22"/>
  <c r="BB62" i="22" s="1"/>
  <c r="AN28" i="22"/>
  <c r="BB28" i="22" s="1"/>
  <c r="BC28" i="22" s="1"/>
  <c r="AN20" i="22"/>
  <c r="BB20" i="22" s="1"/>
  <c r="AB54" i="22"/>
  <c r="AP54" i="22" s="1"/>
  <c r="AQ54" i="22" s="1"/>
  <c r="AB19" i="22"/>
  <c r="AB62" i="22"/>
  <c r="AB55" i="22"/>
  <c r="AB42" i="22"/>
  <c r="AB33" i="22"/>
  <c r="AB28" i="22"/>
  <c r="AB20" i="22"/>
  <c r="AP64" i="22" l="1"/>
  <c r="AQ64" i="22" s="1"/>
  <c r="AP48" i="22"/>
  <c r="AQ48" i="22" s="1"/>
  <c r="AP35" i="22"/>
  <c r="AQ35" i="22" s="1"/>
  <c r="AP32" i="22"/>
  <c r="AQ32" i="22" s="1"/>
  <c r="AP50" i="22"/>
  <c r="AQ50" i="22" s="1"/>
  <c r="Y80" i="22"/>
  <c r="AP52" i="22"/>
  <c r="AQ52" i="22" s="1"/>
  <c r="CB46" i="22"/>
  <c r="AP41" i="22"/>
  <c r="AQ41" i="22" s="1"/>
  <c r="AP38" i="22"/>
  <c r="AQ38" i="22" s="1"/>
  <c r="AP26" i="22"/>
  <c r="AQ26" i="22" s="1"/>
  <c r="CB22" i="22"/>
  <c r="BZ67" i="22"/>
  <c r="CA67" i="22" s="1"/>
  <c r="AP21" i="22"/>
  <c r="AQ21" i="22" s="1"/>
  <c r="AP47" i="22"/>
  <c r="AQ47" i="22" s="1"/>
  <c r="AP49" i="22"/>
  <c r="AQ49" i="22" s="1"/>
  <c r="BB61" i="22"/>
  <c r="BC61" i="22" s="1"/>
  <c r="BP31" i="22"/>
  <c r="BO27" i="22"/>
  <c r="BP46" i="22"/>
  <c r="BO42" i="22"/>
  <c r="BP19" i="22"/>
  <c r="BO18" i="22"/>
  <c r="BN67" i="22"/>
  <c r="BP51" i="22"/>
  <c r="BO47" i="22"/>
  <c r="BP61" i="22"/>
  <c r="BO57" i="22"/>
  <c r="BP22" i="22"/>
  <c r="BO20" i="22"/>
  <c r="BP36" i="22"/>
  <c r="BO32" i="22"/>
  <c r="BP66" i="22"/>
  <c r="BO62" i="22"/>
  <c r="BO37" i="22"/>
  <c r="BP41" i="22"/>
  <c r="BO23" i="22"/>
  <c r="BP26" i="22"/>
  <c r="BO52" i="22"/>
  <c r="BP56" i="22"/>
  <c r="BB66" i="22"/>
  <c r="BC66" i="22" s="1"/>
  <c r="BB50" i="22"/>
  <c r="BC50" i="22" s="1"/>
  <c r="BC62" i="22"/>
  <c r="BC42" i="22"/>
  <c r="BC47" i="22"/>
  <c r="BB36" i="22"/>
  <c r="BC36" i="22" s="1"/>
  <c r="BB49" i="22"/>
  <c r="BC49" i="22" s="1"/>
  <c r="BB21" i="22"/>
  <c r="BC21" i="22" s="1"/>
  <c r="BC20" i="22"/>
  <c r="BC18" i="22"/>
  <c r="BB51" i="22"/>
  <c r="BC51" i="22" s="1"/>
  <c r="BB22" i="22"/>
  <c r="BC22" i="22" s="1"/>
  <c r="AP37" i="22"/>
  <c r="AQ37" i="22" s="1"/>
  <c r="BB64" i="22"/>
  <c r="BC64" i="22" s="1"/>
  <c r="AH79" i="22"/>
  <c r="AP65" i="22"/>
  <c r="AQ65" i="22" s="1"/>
  <c r="BB38" i="22"/>
  <c r="BC38" i="22" s="1"/>
  <c r="BB29" i="22"/>
  <c r="BC29" i="22" s="1"/>
  <c r="BB46" i="22"/>
  <c r="BC46" i="22" s="1"/>
  <c r="BB31" i="22"/>
  <c r="BC31" i="22" s="1"/>
  <c r="BB19" i="22"/>
  <c r="BC19" i="22" s="1"/>
  <c r="AP31" i="22"/>
  <c r="AQ31" i="22" s="1"/>
  <c r="BB35" i="22"/>
  <c r="BC35" i="22" s="1"/>
  <c r="BC37" i="22"/>
  <c r="BC52" i="22"/>
  <c r="BB32" i="22"/>
  <c r="BB57" i="22"/>
  <c r="BC23" i="22"/>
  <c r="AP39" i="22"/>
  <c r="AQ39" i="22" s="1"/>
  <c r="BB30" i="22"/>
  <c r="BC30" i="22" s="1"/>
  <c r="BC27" i="22"/>
  <c r="AP61" i="22"/>
  <c r="AQ61" i="22" s="1"/>
  <c r="AP60" i="22"/>
  <c r="AQ60" i="22" s="1"/>
  <c r="AP27" i="22"/>
  <c r="AQ27" i="22" s="1"/>
  <c r="AP45" i="22"/>
  <c r="AQ45" i="22" s="1"/>
  <c r="AP55" i="22"/>
  <c r="AQ55" i="22" s="1"/>
  <c r="AP36" i="22"/>
  <c r="AQ36" i="22" s="1"/>
  <c r="AP53" i="22"/>
  <c r="AQ53" i="22" s="1"/>
  <c r="AP24" i="22"/>
  <c r="AQ24" i="22" s="1"/>
  <c r="AP40" i="22"/>
  <c r="AQ40" i="22" s="1"/>
  <c r="AH75" i="22"/>
  <c r="AH81" i="22"/>
  <c r="AP34" i="22"/>
  <c r="AQ34" i="22" s="1"/>
  <c r="AH80" i="22"/>
  <c r="V80" i="22"/>
  <c r="AP28" i="22"/>
  <c r="AQ28" i="22" s="1"/>
  <c r="AH72" i="22"/>
  <c r="AP63" i="22"/>
  <c r="AQ63" i="22" s="1"/>
  <c r="AP62" i="22"/>
  <c r="AQ62" i="22" s="1"/>
  <c r="AN67" i="22"/>
  <c r="V76" i="22"/>
  <c r="AP33" i="22"/>
  <c r="AB67" i="22"/>
  <c r="V74" i="22"/>
  <c r="V78" i="22"/>
  <c r="AP42" i="22"/>
  <c r="Y72" i="22"/>
  <c r="AP19" i="22"/>
  <c r="AQ19" i="22" s="1"/>
  <c r="Y78" i="22"/>
  <c r="AP46" i="22"/>
  <c r="AQ46" i="22" s="1"/>
  <c r="Y79" i="22"/>
  <c r="AP51" i="22"/>
  <c r="V73" i="22"/>
  <c r="AP20" i="22"/>
  <c r="V77" i="22"/>
  <c r="Y73" i="22"/>
  <c r="AP22" i="22"/>
  <c r="AQ22" i="22" s="1"/>
  <c r="Y82" i="22"/>
  <c r="AP66" i="22"/>
  <c r="AQ66" i="22" s="1"/>
  <c r="AH78" i="22"/>
  <c r="AH73" i="22"/>
  <c r="AH77" i="22"/>
  <c r="AH74" i="22"/>
  <c r="AH82" i="22"/>
  <c r="AH76" i="22"/>
  <c r="V82" i="22"/>
  <c r="V81" i="22"/>
  <c r="V79" i="22"/>
  <c r="V75" i="22"/>
  <c r="V72" i="22"/>
  <c r="Q1" i="22"/>
  <c r="P1" i="22"/>
  <c r="O1" i="22"/>
  <c r="N1" i="22"/>
  <c r="M1" i="22"/>
  <c r="L1" i="22"/>
  <c r="K1" i="22"/>
  <c r="J1" i="22"/>
  <c r="I1" i="22"/>
  <c r="H1" i="22"/>
  <c r="G1" i="22"/>
  <c r="F1" i="22"/>
  <c r="E1" i="22"/>
  <c r="D1" i="22"/>
  <c r="C1" i="22"/>
  <c r="B1" i="22"/>
  <c r="A1" i="22"/>
  <c r="O73" i="22"/>
  <c r="O74" i="22" s="1"/>
  <c r="O75" i="22" s="1"/>
  <c r="O76" i="22" s="1"/>
  <c r="O77" i="22" s="1"/>
  <c r="O78" i="22" s="1"/>
  <c r="O79" i="22" s="1"/>
  <c r="O80" i="22" s="1"/>
  <c r="O81" i="22" s="1"/>
  <c r="O82" i="22" s="1"/>
  <c r="CB67" i="22" l="1"/>
  <c r="BP67" i="22"/>
  <c r="BO67" i="22"/>
  <c r="BD66" i="22"/>
  <c r="BC32" i="22"/>
  <c r="BD36" i="22"/>
  <c r="BD31" i="22"/>
  <c r="BD19" i="22"/>
  <c r="BD26" i="22"/>
  <c r="BD51" i="22"/>
  <c r="BC57" i="22"/>
  <c r="BD61" i="22"/>
  <c r="BD56" i="22"/>
  <c r="BD22" i="22"/>
  <c r="BD46" i="22"/>
  <c r="BD41" i="22"/>
  <c r="BB67" i="22"/>
  <c r="BD67" i="22" s="1"/>
  <c r="AR61" i="22"/>
  <c r="AR56" i="22"/>
  <c r="AR31" i="22"/>
  <c r="AR19" i="22"/>
  <c r="AP67" i="22"/>
  <c r="AQ67" i="22" s="1"/>
  <c r="AR66" i="22"/>
  <c r="AQ20" i="22"/>
  <c r="AR22" i="22"/>
  <c r="AR46" i="22"/>
  <c r="AQ42" i="22"/>
  <c r="AQ33" i="22"/>
  <c r="AR36" i="22"/>
  <c r="AR41" i="22"/>
  <c r="AQ51" i="22"/>
  <c r="AR51" i="22"/>
  <c r="AR26" i="22"/>
  <c r="BC67" i="22" l="1"/>
  <c r="AR67" i="22"/>
  <c r="C5" i="8" l="1"/>
  <c r="C4" i="8"/>
  <c r="C7" i="8"/>
  <c r="C6" i="8"/>
  <c r="M65" i="22" l="1"/>
  <c r="N65" i="22" s="1"/>
  <c r="M64" i="22"/>
  <c r="N64" i="22" s="1"/>
  <c r="M62" i="22"/>
  <c r="N62" i="22" s="1"/>
  <c r="M61" i="22"/>
  <c r="N61" i="22" s="1"/>
  <c r="O60" i="22"/>
  <c r="M58" i="22"/>
  <c r="N58" i="22" s="1"/>
  <c r="O57" i="22"/>
  <c r="O55" i="22"/>
  <c r="O52" i="22"/>
  <c r="M51" i="22"/>
  <c r="N51" i="22" s="1"/>
  <c r="M50" i="22"/>
  <c r="N50" i="22" s="1"/>
  <c r="M48" i="22"/>
  <c r="N48" i="22" s="1"/>
  <c r="M47" i="22"/>
  <c r="N47" i="22" s="1"/>
  <c r="O45" i="22"/>
  <c r="M44" i="22"/>
  <c r="N44" i="22" s="1"/>
  <c r="M42" i="22"/>
  <c r="N42" i="22" s="1"/>
  <c r="M41" i="22"/>
  <c r="N41" i="22" s="1"/>
  <c r="M39" i="22"/>
  <c r="N39" i="22" s="1"/>
  <c r="M37" i="22"/>
  <c r="N37" i="22" s="1"/>
  <c r="M36" i="22"/>
  <c r="N36" i="22" s="1"/>
  <c r="O35" i="22"/>
  <c r="M34" i="22"/>
  <c r="N34" i="22" s="1"/>
  <c r="O33" i="22"/>
  <c r="M32" i="22"/>
  <c r="N32" i="22" s="1"/>
  <c r="M30" i="22"/>
  <c r="N30" i="22" s="1"/>
  <c r="O28" i="22"/>
  <c r="M27" i="22"/>
  <c r="N27" i="22" s="1"/>
  <c r="M25" i="22"/>
  <c r="N25" i="22" s="1"/>
  <c r="M23" i="22"/>
  <c r="N23" i="22" s="1"/>
  <c r="M22" i="22"/>
  <c r="N22" i="22" s="1"/>
  <c r="M21" i="22"/>
  <c r="N21" i="22" s="1"/>
  <c r="O20" i="22"/>
  <c r="M19" i="22"/>
  <c r="N19" i="22" s="1"/>
  <c r="P15" i="22"/>
  <c r="K15" i="22"/>
  <c r="D94" i="22"/>
  <c r="M54" i="22" l="1"/>
  <c r="N54" i="22" s="1"/>
  <c r="M57" i="22"/>
  <c r="N57" i="22" s="1"/>
  <c r="M20" i="22"/>
  <c r="N20" i="22" s="1"/>
  <c r="M28" i="22"/>
  <c r="N28" i="22" s="1"/>
  <c r="M33" i="22"/>
  <c r="N33" i="22" s="1"/>
  <c r="O61" i="22"/>
  <c r="M35" i="22"/>
  <c r="N35" i="22" s="1"/>
  <c r="O59" i="22"/>
  <c r="O18" i="22"/>
  <c r="O24" i="22"/>
  <c r="O26" i="22"/>
  <c r="O29" i="22"/>
  <c r="O31" i="22"/>
  <c r="O38" i="22"/>
  <c r="O40" i="22"/>
  <c r="O43" i="22"/>
  <c r="O46" i="22"/>
  <c r="O49" i="22"/>
  <c r="O53" i="22"/>
  <c r="O56" i="22"/>
  <c r="O63" i="22"/>
  <c r="O66" i="22"/>
  <c r="M45" i="22"/>
  <c r="N45" i="22" s="1"/>
  <c r="M52" i="22"/>
  <c r="N52" i="22" s="1"/>
  <c r="M55" i="22"/>
  <c r="N55" i="22" s="1"/>
  <c r="M60" i="22"/>
  <c r="N60" i="22" s="1"/>
  <c r="O42" i="22"/>
  <c r="O62" i="22"/>
  <c r="O65" i="22"/>
  <c r="O19" i="22"/>
  <c r="O21" i="22"/>
  <c r="P21" i="22" s="1"/>
  <c r="AD21" i="22" s="1"/>
  <c r="AE21" i="22" s="1"/>
  <c r="O23" i="22"/>
  <c r="O25" i="22"/>
  <c r="O30" i="22"/>
  <c r="O37" i="22"/>
  <c r="O39" i="22"/>
  <c r="O41" i="22"/>
  <c r="O44" i="22"/>
  <c r="O48" i="22"/>
  <c r="O51" i="22"/>
  <c r="O54" i="22"/>
  <c r="O58" i="22"/>
  <c r="O64" i="22"/>
  <c r="O22" i="22"/>
  <c r="O27" i="22"/>
  <c r="O32" i="22"/>
  <c r="O34" i="22"/>
  <c r="O36" i="22"/>
  <c r="O47" i="22"/>
  <c r="O50" i="22"/>
  <c r="M18" i="22"/>
  <c r="M24" i="22"/>
  <c r="N24" i="22" s="1"/>
  <c r="M26" i="22"/>
  <c r="N26" i="22" s="1"/>
  <c r="M29" i="22"/>
  <c r="M31" i="22"/>
  <c r="N31" i="22" s="1"/>
  <c r="M38" i="22"/>
  <c r="M40" i="22"/>
  <c r="N40" i="22" s="1"/>
  <c r="M43" i="22"/>
  <c r="N43" i="22" s="1"/>
  <c r="M46" i="22"/>
  <c r="N46" i="22" s="1"/>
  <c r="M49" i="22"/>
  <c r="N49" i="22" s="1"/>
  <c r="M53" i="22"/>
  <c r="N53" i="22" s="1"/>
  <c r="M56" i="22"/>
  <c r="N56" i="22" s="1"/>
  <c r="M59" i="22"/>
  <c r="N59" i="22" s="1"/>
  <c r="M63" i="22"/>
  <c r="N63" i="22" s="1"/>
  <c r="M66" i="22"/>
  <c r="N66" i="22" s="1"/>
  <c r="P33" i="22" l="1"/>
  <c r="AD33" i="22" s="1"/>
  <c r="AE33" i="22" s="1"/>
  <c r="M67" i="22"/>
  <c r="N18" i="22"/>
  <c r="P18" i="22" s="1"/>
  <c r="AD18" i="22" s="1"/>
  <c r="P54" i="22"/>
  <c r="N38" i="22"/>
  <c r="P38" i="22" s="1"/>
  <c r="AD38" i="22" s="1"/>
  <c r="AE38" i="22" s="1"/>
  <c r="N29" i="22"/>
  <c r="P29" i="22" s="1"/>
  <c r="AD29" i="22" s="1"/>
  <c r="AE29" i="22" s="1"/>
  <c r="P24" i="22"/>
  <c r="AD24" i="22" s="1"/>
  <c r="AE24" i="22" s="1"/>
  <c r="P32" i="22"/>
  <c r="AD32" i="22" s="1"/>
  <c r="P48" i="22"/>
  <c r="AD48" i="22" s="1"/>
  <c r="AE48" i="22" s="1"/>
  <c r="P37" i="22"/>
  <c r="AD37" i="22" s="1"/>
  <c r="P52" i="22"/>
  <c r="AD52" i="22" s="1"/>
  <c r="P23" i="22"/>
  <c r="AD23" i="22" s="1"/>
  <c r="P58" i="22"/>
  <c r="AD58" i="22" s="1"/>
  <c r="AE58" i="22" s="1"/>
  <c r="P65" i="22"/>
  <c r="AD65" i="22" s="1"/>
  <c r="AE65" i="22" s="1"/>
  <c r="P61" i="22"/>
  <c r="P19" i="22"/>
  <c r="P57" i="22"/>
  <c r="AD57" i="22" s="1"/>
  <c r="P39" i="22"/>
  <c r="AD39" i="22" s="1"/>
  <c r="AE39" i="22" s="1"/>
  <c r="P55" i="22"/>
  <c r="AD55" i="22" s="1"/>
  <c r="AE55" i="22" s="1"/>
  <c r="P45" i="22"/>
  <c r="AD45" i="22" s="1"/>
  <c r="AE45" i="22" s="1"/>
  <c r="P35" i="22"/>
  <c r="P51" i="22"/>
  <c r="P44" i="22"/>
  <c r="P25" i="22"/>
  <c r="P64" i="22"/>
  <c r="P34" i="22"/>
  <c r="AD34" i="22" s="1"/>
  <c r="AE34" i="22" s="1"/>
  <c r="P30" i="22"/>
  <c r="P41" i="22"/>
  <c r="P42" i="22"/>
  <c r="AD42" i="22" s="1"/>
  <c r="P27" i="22"/>
  <c r="AD27" i="22" s="1"/>
  <c r="P28" i="22"/>
  <c r="AD28" i="22" s="1"/>
  <c r="AE28" i="22" s="1"/>
  <c r="P22" i="22"/>
  <c r="P20" i="22"/>
  <c r="AD20" i="22" s="1"/>
  <c r="P60" i="22"/>
  <c r="AD60" i="22" s="1"/>
  <c r="AE60" i="22" s="1"/>
  <c r="P50" i="22"/>
  <c r="AD50" i="22" s="1"/>
  <c r="AE50" i="22" s="1"/>
  <c r="P36" i="22"/>
  <c r="P47" i="22"/>
  <c r="AD47" i="22" s="1"/>
  <c r="P62" i="22"/>
  <c r="AD62" i="22" s="1"/>
  <c r="P59" i="22"/>
  <c r="P53" i="22"/>
  <c r="AD53" i="22" s="1"/>
  <c r="AE53" i="22" s="1"/>
  <c r="P40" i="22"/>
  <c r="P31" i="22"/>
  <c r="P66" i="22"/>
  <c r="P49" i="22"/>
  <c r="P63" i="22"/>
  <c r="AD63" i="22" s="1"/>
  <c r="AE63" i="22" s="1"/>
  <c r="P56" i="22"/>
  <c r="P46" i="22"/>
  <c r="P26" i="22"/>
  <c r="P43" i="22"/>
  <c r="AD43" i="22" s="1"/>
  <c r="AE43" i="22" s="1"/>
  <c r="AD64" i="22" l="1"/>
  <c r="AE64" i="22" s="1"/>
  <c r="AD25" i="22"/>
  <c r="AE25" i="22" s="1"/>
  <c r="AD54" i="22"/>
  <c r="AE54" i="22" s="1"/>
  <c r="AD59" i="22"/>
  <c r="AE59" i="22" s="1"/>
  <c r="AD35" i="22"/>
  <c r="AE35" i="22" s="1"/>
  <c r="AD30" i="22"/>
  <c r="AE30" i="22" s="1"/>
  <c r="AD40" i="22"/>
  <c r="AE40" i="22" s="1"/>
  <c r="AD44" i="22"/>
  <c r="AE44" i="22" s="1"/>
  <c r="M74" i="22"/>
  <c r="AD26" i="22"/>
  <c r="AE26" i="22" s="1"/>
  <c r="M75" i="22"/>
  <c r="AD31" i="22"/>
  <c r="AE31" i="22" s="1"/>
  <c r="AE62" i="22"/>
  <c r="AE37" i="22"/>
  <c r="M73" i="22"/>
  <c r="AD22" i="22"/>
  <c r="AE22" i="22" s="1"/>
  <c r="M72" i="22"/>
  <c r="AD19" i="22"/>
  <c r="AE19" i="22" s="1"/>
  <c r="AE52" i="22"/>
  <c r="M78" i="22"/>
  <c r="AD46" i="22"/>
  <c r="AE46" i="22" s="1"/>
  <c r="M82" i="22"/>
  <c r="AD66" i="22"/>
  <c r="AE66" i="22" s="1"/>
  <c r="AE20" i="22"/>
  <c r="AE27" i="22"/>
  <c r="M79" i="22"/>
  <c r="AD51" i="22"/>
  <c r="AE51" i="22" s="1"/>
  <c r="AE32" i="22"/>
  <c r="P67" i="22"/>
  <c r="M77" i="22"/>
  <c r="AD41" i="22"/>
  <c r="AE41" i="22" s="1"/>
  <c r="AE18" i="22"/>
  <c r="M81" i="22"/>
  <c r="AD61" i="22"/>
  <c r="AE61" i="22" s="1"/>
  <c r="M80" i="22"/>
  <c r="AD56" i="22"/>
  <c r="AE56" i="22" s="1"/>
  <c r="M76" i="22"/>
  <c r="AD36" i="22"/>
  <c r="AE36" i="22" s="1"/>
  <c r="AE42" i="22"/>
  <c r="K79" i="22"/>
  <c r="AD49" i="22"/>
  <c r="AE49" i="22" s="1"/>
  <c r="AE47" i="22"/>
  <c r="AE57" i="22"/>
  <c r="AE23" i="22"/>
  <c r="K82" i="22"/>
  <c r="K77" i="22"/>
  <c r="K72" i="22"/>
  <c r="K78" i="22"/>
  <c r="K81" i="22"/>
  <c r="K73" i="22"/>
  <c r="K80" i="22"/>
  <c r="K76" i="22"/>
  <c r="K74" i="22"/>
  <c r="K75" i="22"/>
  <c r="AF61" i="22" l="1"/>
  <c r="AF46" i="22"/>
  <c r="AF26" i="22"/>
  <c r="AF51" i="22"/>
  <c r="AF36" i="22"/>
  <c r="AF22" i="22"/>
  <c r="AF19" i="22"/>
  <c r="AF41" i="22"/>
  <c r="AD67" i="22"/>
  <c r="AF67" i="22" s="1"/>
  <c r="AF31" i="22"/>
  <c r="AF56" i="22"/>
  <c r="AF66" i="22"/>
  <c r="E87" i="22"/>
  <c r="E90" i="22" s="1"/>
  <c r="E66" i="22"/>
  <c r="E65" i="22"/>
  <c r="E64" i="22"/>
  <c r="E63" i="22"/>
  <c r="E62" i="22"/>
  <c r="E61" i="22"/>
  <c r="E60" i="22"/>
  <c r="E59" i="22"/>
  <c r="E58" i="22"/>
  <c r="E57" i="22"/>
  <c r="E56" i="22"/>
  <c r="E55" i="22"/>
  <c r="F55" i="22" s="1"/>
  <c r="G55" i="22" s="1"/>
  <c r="E54" i="22"/>
  <c r="E53" i="22"/>
  <c r="F53" i="22" s="1"/>
  <c r="G53" i="22" s="1"/>
  <c r="E52" i="22"/>
  <c r="E51" i="22"/>
  <c r="E50" i="22"/>
  <c r="E49" i="22"/>
  <c r="E48" i="22"/>
  <c r="E47" i="22"/>
  <c r="E46" i="22"/>
  <c r="F46" i="22" s="1"/>
  <c r="G46" i="22" s="1"/>
  <c r="E45" i="22"/>
  <c r="E44" i="22"/>
  <c r="E43" i="22"/>
  <c r="E42" i="22"/>
  <c r="F42" i="22" s="1"/>
  <c r="G42" i="22" s="1"/>
  <c r="E41" i="22"/>
  <c r="E40" i="22"/>
  <c r="F40" i="22" s="1"/>
  <c r="G40" i="22" s="1"/>
  <c r="E39" i="22"/>
  <c r="E38" i="22"/>
  <c r="E37" i="22"/>
  <c r="E36" i="22"/>
  <c r="E35" i="22"/>
  <c r="E34" i="22"/>
  <c r="E33" i="22"/>
  <c r="F33" i="22" s="1"/>
  <c r="G33" i="22" s="1"/>
  <c r="E32" i="22"/>
  <c r="E31" i="22"/>
  <c r="F31" i="22" s="1"/>
  <c r="G31" i="22" s="1"/>
  <c r="E30" i="22"/>
  <c r="E29" i="22"/>
  <c r="E28" i="22"/>
  <c r="H28" i="22" s="1"/>
  <c r="E27" i="22"/>
  <c r="H27" i="22" s="1"/>
  <c r="E26" i="22"/>
  <c r="H26" i="22" s="1"/>
  <c r="E25" i="22"/>
  <c r="E24" i="22"/>
  <c r="H24" i="22" s="1"/>
  <c r="E23" i="22"/>
  <c r="E22" i="22"/>
  <c r="H22" i="22" s="1"/>
  <c r="E21" i="22"/>
  <c r="E20" i="22"/>
  <c r="H20" i="22" s="1"/>
  <c r="E19" i="22"/>
  <c r="E18" i="22"/>
  <c r="H18" i="22" s="1"/>
  <c r="I15" i="22"/>
  <c r="D15" i="22"/>
  <c r="AE67" i="22" l="1"/>
  <c r="F35" i="22"/>
  <c r="G35" i="22" s="1"/>
  <c r="F26" i="22"/>
  <c r="G26" i="22" s="1"/>
  <c r="F28" i="22"/>
  <c r="G28" i="22" s="1"/>
  <c r="F20" i="22"/>
  <c r="G20" i="22" s="1"/>
  <c r="H32" i="22"/>
  <c r="H46" i="22"/>
  <c r="H29" i="22"/>
  <c r="H34" i="22"/>
  <c r="H47" i="22"/>
  <c r="H49" i="22"/>
  <c r="H57" i="22"/>
  <c r="H59" i="22"/>
  <c r="F52" i="22"/>
  <c r="G52" i="22" s="1"/>
  <c r="H56" i="22"/>
  <c r="H42" i="22"/>
  <c r="H38" i="22"/>
  <c r="H60" i="22"/>
  <c r="H40" i="22"/>
  <c r="H36" i="22"/>
  <c r="H66" i="22"/>
  <c r="H31" i="22"/>
  <c r="H33" i="22"/>
  <c r="H43" i="22"/>
  <c r="H50" i="22"/>
  <c r="H53" i="22"/>
  <c r="H55" i="22"/>
  <c r="H63" i="22"/>
  <c r="F45" i="22"/>
  <c r="G45" i="22" s="1"/>
  <c r="F59" i="22"/>
  <c r="G59" i="22" s="1"/>
  <c r="H30" i="22"/>
  <c r="H37" i="22"/>
  <c r="H39" i="22"/>
  <c r="H48" i="22"/>
  <c r="H51" i="22"/>
  <c r="H61" i="22"/>
  <c r="H35" i="22"/>
  <c r="H45" i="22"/>
  <c r="H64" i="22"/>
  <c r="F18" i="22"/>
  <c r="F24" i="22"/>
  <c r="G24" i="22" s="1"/>
  <c r="F43" i="22"/>
  <c r="G43" i="22" s="1"/>
  <c r="F56" i="22"/>
  <c r="G56" i="22" s="1"/>
  <c r="H23" i="22"/>
  <c r="H25" i="22"/>
  <c r="H41" i="22"/>
  <c r="H44" i="22"/>
  <c r="H54" i="22"/>
  <c r="H58" i="22"/>
  <c r="H52" i="22"/>
  <c r="F62" i="22"/>
  <c r="G62" i="22" s="1"/>
  <c r="H62" i="22"/>
  <c r="F29" i="22"/>
  <c r="G29" i="22" s="1"/>
  <c r="F38" i="22"/>
  <c r="G38" i="22" s="1"/>
  <c r="F49" i="22"/>
  <c r="G49" i="22" s="1"/>
  <c r="H19" i="22"/>
  <c r="H21" i="22"/>
  <c r="H65" i="22"/>
  <c r="F22" i="22"/>
  <c r="G22" i="22" s="1"/>
  <c r="F27" i="22"/>
  <c r="G27" i="22" s="1"/>
  <c r="F32" i="22"/>
  <c r="G32" i="22" s="1"/>
  <c r="F36" i="22"/>
  <c r="G36" i="22" s="1"/>
  <c r="F47" i="22"/>
  <c r="G47" i="22" s="1"/>
  <c r="F65" i="22"/>
  <c r="G65" i="22" s="1"/>
  <c r="F66" i="22"/>
  <c r="G66" i="22" s="1"/>
  <c r="F34" i="22"/>
  <c r="G34" i="22" s="1"/>
  <c r="F50" i="22"/>
  <c r="F57" i="22"/>
  <c r="G57" i="22" s="1"/>
  <c r="F63" i="22"/>
  <c r="G63" i="22" s="1"/>
  <c r="E92" i="22"/>
  <c r="F19" i="22"/>
  <c r="G19" i="22" s="1"/>
  <c r="F21" i="22"/>
  <c r="G21" i="22" s="1"/>
  <c r="F23" i="22"/>
  <c r="G23" i="22" s="1"/>
  <c r="F25" i="22"/>
  <c r="G25" i="22" s="1"/>
  <c r="F30" i="22"/>
  <c r="G30" i="22" s="1"/>
  <c r="F37" i="22"/>
  <c r="G37" i="22" s="1"/>
  <c r="F39" i="22"/>
  <c r="G39" i="22" s="1"/>
  <c r="F41" i="22"/>
  <c r="G41" i="22" s="1"/>
  <c r="F44" i="22"/>
  <c r="G44" i="22" s="1"/>
  <c r="F48" i="22"/>
  <c r="G48" i="22" s="1"/>
  <c r="F51" i="22"/>
  <c r="G51" i="22" s="1"/>
  <c r="F54" i="22"/>
  <c r="G54" i="22" s="1"/>
  <c r="F58" i="22"/>
  <c r="G58" i="22" s="1"/>
  <c r="F61" i="22"/>
  <c r="G61" i="22" s="1"/>
  <c r="F64" i="22"/>
  <c r="G64" i="22" s="1"/>
  <c r="F60" i="22"/>
  <c r="G60" i="22" s="1"/>
  <c r="P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5" i="13"/>
  <c r="P6" i="13"/>
  <c r="P7" i="13"/>
  <c r="P8" i="13"/>
  <c r="P9" i="13"/>
  <c r="P10" i="13"/>
  <c r="P11" i="13"/>
  <c r="P12" i="13"/>
  <c r="P13" i="13"/>
  <c r="P14" i="13"/>
  <c r="P15" i="13"/>
  <c r="P16" i="13"/>
  <c r="P17" i="13"/>
  <c r="P18" i="13"/>
  <c r="P19" i="13"/>
  <c r="K42" i="2"/>
  <c r="C11" i="19"/>
  <c r="D11" i="19"/>
  <c r="E11" i="19"/>
  <c r="F11" i="19"/>
  <c r="G11" i="19"/>
  <c r="H11" i="19"/>
  <c r="D13" i="19"/>
  <c r="E13" i="19"/>
  <c r="F13" i="19"/>
  <c r="G13" i="19"/>
  <c r="H13" i="19"/>
  <c r="E16" i="19"/>
  <c r="F16" i="19"/>
  <c r="G16" i="19"/>
  <c r="H16" i="19"/>
  <c r="E17" i="19"/>
  <c r="F17" i="19"/>
  <c r="G17" i="19"/>
  <c r="H17" i="19"/>
  <c r="E18" i="19"/>
  <c r="F18" i="19"/>
  <c r="G18" i="19"/>
  <c r="H18" i="19"/>
  <c r="E19" i="19"/>
  <c r="F19" i="19"/>
  <c r="G19" i="19"/>
  <c r="H19" i="19"/>
  <c r="C24" i="19"/>
  <c r="C25" i="19"/>
  <c r="C26" i="19"/>
  <c r="C27" i="19"/>
  <c r="C28" i="19"/>
  <c r="C4" i="19"/>
  <c r="C5" i="19"/>
  <c r="C29" i="8"/>
  <c r="C7" i="19"/>
  <c r="C13" i="8"/>
  <c r="C13" i="19" s="1"/>
  <c r="W37" i="17"/>
  <c r="W38" i="17"/>
  <c r="W39" i="17"/>
  <c r="W40" i="17"/>
  <c r="W41" i="17"/>
  <c r="W42" i="17"/>
  <c r="W43" i="17"/>
  <c r="W44" i="17"/>
  <c r="W45" i="17"/>
  <c r="G50" i="22" l="1"/>
  <c r="I50" i="22" s="1"/>
  <c r="R50" i="22" s="1"/>
  <c r="S50" i="22" s="1"/>
  <c r="G18" i="22"/>
  <c r="I18" i="22" s="1"/>
  <c r="R18" i="22" s="1"/>
  <c r="F67" i="22"/>
  <c r="I53" i="22"/>
  <c r="R53" i="22" s="1"/>
  <c r="S53" i="22" s="1"/>
  <c r="I28" i="22"/>
  <c r="R28" i="22" s="1"/>
  <c r="S28" i="22" s="1"/>
  <c r="I26" i="22"/>
  <c r="I42" i="22"/>
  <c r="R42" i="22" s="1"/>
  <c r="I40" i="22"/>
  <c r="I35" i="22"/>
  <c r="I56" i="22"/>
  <c r="I20" i="22"/>
  <c r="R20" i="22" s="1"/>
  <c r="I57" i="22"/>
  <c r="R57" i="22" s="1"/>
  <c r="I38" i="22"/>
  <c r="R38" i="22" s="1"/>
  <c r="S38" i="22" s="1"/>
  <c r="I62" i="22"/>
  <c r="R62" i="22" s="1"/>
  <c r="I43" i="22"/>
  <c r="R43" i="22" s="1"/>
  <c r="S43" i="22" s="1"/>
  <c r="I33" i="22"/>
  <c r="R33" i="22" s="1"/>
  <c r="S33" i="22" s="1"/>
  <c r="I46" i="22"/>
  <c r="I32" i="22"/>
  <c r="R32" i="22" s="1"/>
  <c r="I22" i="22"/>
  <c r="I49" i="22"/>
  <c r="I24" i="22"/>
  <c r="R24" i="22" s="1"/>
  <c r="S24" i="22" s="1"/>
  <c r="I45" i="22"/>
  <c r="R45" i="22" s="1"/>
  <c r="S45" i="22" s="1"/>
  <c r="I55" i="22"/>
  <c r="R55" i="22" s="1"/>
  <c r="S55" i="22" s="1"/>
  <c r="I31" i="22"/>
  <c r="I59" i="22"/>
  <c r="I34" i="22"/>
  <c r="R34" i="22" s="1"/>
  <c r="S34" i="22" s="1"/>
  <c r="W58" i="17"/>
  <c r="W46" i="17"/>
  <c r="I63" i="22"/>
  <c r="R63" i="22" s="1"/>
  <c r="S63" i="22" s="1"/>
  <c r="I29" i="22"/>
  <c r="R29" i="22" s="1"/>
  <c r="S29" i="22" s="1"/>
  <c r="I60" i="22"/>
  <c r="R60" i="22" s="1"/>
  <c r="S60" i="22" s="1"/>
  <c r="I52" i="22"/>
  <c r="R52" i="22" s="1"/>
  <c r="E94" i="22"/>
  <c r="E93" i="22"/>
  <c r="I65" i="22"/>
  <c r="R65" i="22" s="1"/>
  <c r="S65" i="22" s="1"/>
  <c r="I66" i="22"/>
  <c r="I47" i="22"/>
  <c r="R47" i="22" s="1"/>
  <c r="I36" i="22"/>
  <c r="I27" i="22"/>
  <c r="R27" i="22" s="1"/>
  <c r="I61" i="22"/>
  <c r="I48" i="22"/>
  <c r="R48" i="22" s="1"/>
  <c r="S48" i="22" s="1"/>
  <c r="I37" i="22"/>
  <c r="R37" i="22" s="1"/>
  <c r="I54" i="22"/>
  <c r="I41" i="22"/>
  <c r="I23" i="22"/>
  <c r="R23" i="22" s="1"/>
  <c r="I19" i="22"/>
  <c r="I64" i="22"/>
  <c r="I58" i="22"/>
  <c r="R58" i="22" s="1"/>
  <c r="S58" i="22" s="1"/>
  <c r="I51" i="22"/>
  <c r="I44" i="22"/>
  <c r="I39" i="22"/>
  <c r="R39" i="22" s="1"/>
  <c r="S39" i="22" s="1"/>
  <c r="I30" i="22"/>
  <c r="I25" i="22"/>
  <c r="I21" i="22"/>
  <c r="R21" i="22" s="1"/>
  <c r="S21" i="22" s="1"/>
  <c r="C36" i="8"/>
  <c r="D36" i="8" s="1"/>
  <c r="E36" i="8" s="1"/>
  <c r="C28" i="8"/>
  <c r="C6" i="19"/>
  <c r="C25" i="8"/>
  <c r="CI83" i="22" l="1"/>
  <c r="CK83" i="22" s="1"/>
  <c r="CL83" i="22" s="1"/>
  <c r="BJ83" i="22"/>
  <c r="BL83" i="22" s="1"/>
  <c r="BM83" i="22" s="1"/>
  <c r="BV83" i="22"/>
  <c r="BX83" i="22" s="1"/>
  <c r="CK76" i="22"/>
  <c r="CK74" i="22"/>
  <c r="CK73" i="22"/>
  <c r="CK75" i="22"/>
  <c r="CK80" i="22"/>
  <c r="CL80" i="22" s="1"/>
  <c r="CK81" i="22"/>
  <c r="CO80" i="22"/>
  <c r="CK78" i="22"/>
  <c r="CK82" i="22"/>
  <c r="CK79" i="22"/>
  <c r="CK77" i="22"/>
  <c r="CO72" i="22"/>
  <c r="CO73" i="22"/>
  <c r="CO81" i="22"/>
  <c r="CO75" i="22"/>
  <c r="CO76" i="22"/>
  <c r="CO74" i="22"/>
  <c r="CO79" i="22"/>
  <c r="CO78" i="22"/>
  <c r="CO82" i="22"/>
  <c r="CO77" i="22"/>
  <c r="CK72" i="22"/>
  <c r="BS82" i="22"/>
  <c r="CB82" i="22" s="1"/>
  <c r="BV78" i="22"/>
  <c r="BX78" i="22" s="1"/>
  <c r="BV81" i="22"/>
  <c r="BX81" i="22" s="1"/>
  <c r="BV79" i="22"/>
  <c r="BX79" i="22" s="1"/>
  <c r="BV82" i="22"/>
  <c r="BX82" i="22" s="1"/>
  <c r="BS76" i="22"/>
  <c r="CB76" i="22" s="1"/>
  <c r="BS77" i="22"/>
  <c r="CB77" i="22" s="1"/>
  <c r="BS78" i="22"/>
  <c r="CB78" i="22" s="1"/>
  <c r="BV80" i="22"/>
  <c r="BX80" i="22" s="1"/>
  <c r="BV75" i="22"/>
  <c r="BX75" i="22" s="1"/>
  <c r="BS79" i="22"/>
  <c r="CB79" i="22" s="1"/>
  <c r="BV77" i="22"/>
  <c r="BX77" i="22" s="1"/>
  <c r="BV73" i="22"/>
  <c r="BX73" i="22" s="1"/>
  <c r="BS72" i="22"/>
  <c r="BS75" i="22"/>
  <c r="CB75" i="22" s="1"/>
  <c r="BS81" i="22"/>
  <c r="CB81" i="22" s="1"/>
  <c r="BV74" i="22"/>
  <c r="BX74" i="22" s="1"/>
  <c r="BS73" i="22"/>
  <c r="CB73" i="22" s="1"/>
  <c r="BS80" i="22"/>
  <c r="CB80" i="22" s="1"/>
  <c r="BV72" i="22"/>
  <c r="BX72" i="22" s="1"/>
  <c r="BV76" i="22"/>
  <c r="BX76" i="22" s="1"/>
  <c r="BS74" i="22"/>
  <c r="CB74" i="22" s="1"/>
  <c r="BG78" i="22"/>
  <c r="BP78" i="22" s="1"/>
  <c r="BG81" i="22"/>
  <c r="BP81" i="22" s="1"/>
  <c r="BJ72" i="22"/>
  <c r="BL72" i="22" s="1"/>
  <c r="BG73" i="22"/>
  <c r="BP73" i="22" s="1"/>
  <c r="BG80" i="22"/>
  <c r="BP80" i="22" s="1"/>
  <c r="BG77" i="22"/>
  <c r="BP77" i="22" s="1"/>
  <c r="BG82" i="22"/>
  <c r="BP82" i="22" s="1"/>
  <c r="BJ82" i="22"/>
  <c r="BL82" i="22" s="1"/>
  <c r="BG79" i="22"/>
  <c r="BP79" i="22" s="1"/>
  <c r="BJ80" i="22"/>
  <c r="BL80" i="22" s="1"/>
  <c r="BJ79" i="22"/>
  <c r="BL79" i="22" s="1"/>
  <c r="BG74" i="22"/>
  <c r="BP74" i="22" s="1"/>
  <c r="BJ73" i="22"/>
  <c r="BL73" i="22" s="1"/>
  <c r="BG75" i="22"/>
  <c r="BP75" i="22" s="1"/>
  <c r="BJ77" i="22"/>
  <c r="BL77" i="22" s="1"/>
  <c r="BJ78" i="22"/>
  <c r="BL78" i="22" s="1"/>
  <c r="BJ76" i="22"/>
  <c r="BL76" i="22" s="1"/>
  <c r="BG76" i="22"/>
  <c r="BP76" i="22" s="1"/>
  <c r="BJ74" i="22"/>
  <c r="BL74" i="22" s="1"/>
  <c r="BJ81" i="22"/>
  <c r="BL81" i="22" s="1"/>
  <c r="BG72" i="22"/>
  <c r="BP72" i="22" s="1"/>
  <c r="BJ75" i="22"/>
  <c r="BL75" i="22" s="1"/>
  <c r="BM75" i="22" s="1"/>
  <c r="AX83" i="22"/>
  <c r="AZ83" i="22" s="1"/>
  <c r="AX81" i="22"/>
  <c r="AZ81" i="22" s="1"/>
  <c r="AU78" i="22"/>
  <c r="BD78" i="22" s="1"/>
  <c r="AX80" i="22"/>
  <c r="AZ80" i="22" s="1"/>
  <c r="AU74" i="22"/>
  <c r="AU76" i="22"/>
  <c r="BD76" i="22" s="1"/>
  <c r="AX82" i="22"/>
  <c r="AZ82" i="22" s="1"/>
  <c r="AX79" i="22"/>
  <c r="AZ79" i="22" s="1"/>
  <c r="AU80" i="22"/>
  <c r="BD80" i="22" s="1"/>
  <c r="AU75" i="22"/>
  <c r="AX78" i="22"/>
  <c r="AZ78" i="22" s="1"/>
  <c r="AU79" i="22"/>
  <c r="BD79" i="22" s="1"/>
  <c r="AX74" i="22"/>
  <c r="AZ74" i="22" s="1"/>
  <c r="AU82" i="22"/>
  <c r="AU77" i="22"/>
  <c r="BD77" i="22" s="1"/>
  <c r="AU73" i="22"/>
  <c r="AX73" i="22"/>
  <c r="AZ73" i="22" s="1"/>
  <c r="AX72" i="22"/>
  <c r="AZ72" i="22" s="1"/>
  <c r="AU72" i="22"/>
  <c r="AX76" i="22"/>
  <c r="AZ76" i="22" s="1"/>
  <c r="AX75" i="22"/>
  <c r="AZ75" i="22" s="1"/>
  <c r="AX77" i="22"/>
  <c r="AZ77" i="22" s="1"/>
  <c r="AU81" i="22"/>
  <c r="BD81" i="22" s="1"/>
  <c r="Z83" i="22"/>
  <c r="AB83" i="22" s="1"/>
  <c r="AC83" i="22" s="1"/>
  <c r="AL83" i="22"/>
  <c r="AN83" i="22" s="1"/>
  <c r="AO83" i="22" s="1"/>
  <c r="N83" i="22"/>
  <c r="P83" i="22" s="1"/>
  <c r="Q83" i="22" s="1"/>
  <c r="R35" i="22"/>
  <c r="S35" i="22" s="1"/>
  <c r="R30" i="22"/>
  <c r="S30" i="22" s="1"/>
  <c r="R25" i="22"/>
  <c r="S25" i="22" s="1"/>
  <c r="R44" i="22"/>
  <c r="S44" i="22" s="1"/>
  <c r="R54" i="22"/>
  <c r="S54" i="22" s="1"/>
  <c r="AL74" i="22"/>
  <c r="AN74" i="22" s="1"/>
  <c r="AL75" i="22"/>
  <c r="AN75" i="22" s="1"/>
  <c r="AL73" i="22"/>
  <c r="AN73" i="22" s="1"/>
  <c r="AL82" i="22"/>
  <c r="AN82" i="22" s="1"/>
  <c r="AL79" i="22"/>
  <c r="AN79" i="22" s="1"/>
  <c r="AL72" i="22"/>
  <c r="AN72" i="22" s="1"/>
  <c r="AL80" i="22"/>
  <c r="AN80" i="22" s="1"/>
  <c r="AL81" i="22"/>
  <c r="AN81" i="22" s="1"/>
  <c r="AL77" i="22"/>
  <c r="AN77" i="22" s="1"/>
  <c r="AL76" i="22"/>
  <c r="AN76" i="22" s="1"/>
  <c r="AL78" i="22"/>
  <c r="AN78" i="22" s="1"/>
  <c r="AI72" i="22"/>
  <c r="Z75" i="22"/>
  <c r="AB75" i="22" s="1"/>
  <c r="AI75" i="22"/>
  <c r="Z74" i="22"/>
  <c r="AB74" i="22" s="1"/>
  <c r="Z80" i="22"/>
  <c r="AB80" i="22" s="1"/>
  <c r="AI81" i="22"/>
  <c r="Z77" i="22"/>
  <c r="AB77" i="22" s="1"/>
  <c r="Z81" i="22"/>
  <c r="AB81" i="22" s="1"/>
  <c r="W80" i="22"/>
  <c r="AI79" i="22"/>
  <c r="Z76" i="22"/>
  <c r="AB76" i="22" s="1"/>
  <c r="AI80" i="22"/>
  <c r="AI78" i="22"/>
  <c r="W74" i="22"/>
  <c r="AI73" i="22"/>
  <c r="Z78" i="22"/>
  <c r="AB78" i="22" s="1"/>
  <c r="W72" i="22"/>
  <c r="Z79" i="22"/>
  <c r="AB79" i="22" s="1"/>
  <c r="W75" i="22"/>
  <c r="AI77" i="22"/>
  <c r="W77" i="22"/>
  <c r="W81" i="22"/>
  <c r="Z82" i="22"/>
  <c r="AB82" i="22" s="1"/>
  <c r="W82" i="22"/>
  <c r="AI74" i="22"/>
  <c r="Z72" i="22"/>
  <c r="AB72" i="22" s="1"/>
  <c r="AI82" i="22"/>
  <c r="W73" i="22"/>
  <c r="AI76" i="22"/>
  <c r="Z73" i="22"/>
  <c r="AB73" i="22" s="1"/>
  <c r="W79" i="22"/>
  <c r="W76" i="22"/>
  <c r="W78" i="22"/>
  <c r="R59" i="22"/>
  <c r="S59" i="22" s="1"/>
  <c r="R49" i="22"/>
  <c r="S49" i="22" s="1"/>
  <c r="R40" i="22"/>
  <c r="S40" i="22" s="1"/>
  <c r="R64" i="22"/>
  <c r="S64" i="22" s="1"/>
  <c r="S23" i="22"/>
  <c r="F82" i="22"/>
  <c r="G82" i="22" s="1"/>
  <c r="R66" i="22"/>
  <c r="S66" i="22" s="1"/>
  <c r="S52" i="22"/>
  <c r="F78" i="22"/>
  <c r="G78" i="22" s="1"/>
  <c r="R46" i="22"/>
  <c r="S46" i="22" s="1"/>
  <c r="S20" i="22"/>
  <c r="F79" i="22"/>
  <c r="G79" i="22" s="1"/>
  <c r="R51" i="22"/>
  <c r="S51" i="22" s="1"/>
  <c r="F72" i="22"/>
  <c r="G72" i="22" s="1"/>
  <c r="R19" i="22"/>
  <c r="S19" i="22" s="1"/>
  <c r="F81" i="22"/>
  <c r="G81" i="22" s="1"/>
  <c r="R61" i="22"/>
  <c r="S61" i="22" s="1"/>
  <c r="S47" i="22"/>
  <c r="S32" i="22"/>
  <c r="S57" i="22"/>
  <c r="S18" i="22"/>
  <c r="F74" i="22"/>
  <c r="G74" i="22" s="1"/>
  <c r="R26" i="22"/>
  <c r="S26" i="22" s="1"/>
  <c r="D71" i="22"/>
  <c r="E71" i="22" s="1"/>
  <c r="I67" i="22"/>
  <c r="F77" i="22"/>
  <c r="G77" i="22" s="1"/>
  <c r="R41" i="22"/>
  <c r="S41" i="22" s="1"/>
  <c r="F76" i="22"/>
  <c r="G76" i="22" s="1"/>
  <c r="R36" i="22"/>
  <c r="S36" i="22" s="1"/>
  <c r="F71" i="22"/>
  <c r="G71" i="22" s="1"/>
  <c r="F75" i="22"/>
  <c r="G75" i="22" s="1"/>
  <c r="R31" i="22"/>
  <c r="S31" i="22" s="1"/>
  <c r="F73" i="22"/>
  <c r="G73" i="22" s="1"/>
  <c r="R22" i="22"/>
  <c r="S22" i="22" s="1"/>
  <c r="S37" i="22"/>
  <c r="S27" i="22"/>
  <c r="S62" i="22"/>
  <c r="F80" i="22"/>
  <c r="G80" i="22" s="1"/>
  <c r="R56" i="22"/>
  <c r="S56" i="22" s="1"/>
  <c r="S42" i="22"/>
  <c r="D78" i="22"/>
  <c r="E78" i="22" s="1"/>
  <c r="D73" i="22"/>
  <c r="E73" i="22" s="1"/>
  <c r="N72" i="22"/>
  <c r="P72" i="22" s="1"/>
  <c r="N81" i="22"/>
  <c r="P81" i="22" s="1"/>
  <c r="N75" i="22"/>
  <c r="P75" i="22" s="1"/>
  <c r="N73" i="22"/>
  <c r="P73" i="22" s="1"/>
  <c r="N74" i="22"/>
  <c r="P74" i="22" s="1"/>
  <c r="N76" i="22"/>
  <c r="P76" i="22" s="1"/>
  <c r="N82" i="22"/>
  <c r="P82" i="22" s="1"/>
  <c r="N79" i="22"/>
  <c r="P79" i="22" s="1"/>
  <c r="N80" i="22"/>
  <c r="P80" i="22" s="1"/>
  <c r="N78" i="22"/>
  <c r="P78" i="22" s="1"/>
  <c r="N77" i="22"/>
  <c r="P77" i="22" s="1"/>
  <c r="W59" i="17"/>
  <c r="R17" i="20" s="1"/>
  <c r="D81" i="22"/>
  <c r="E81" i="22" s="1"/>
  <c r="D75" i="22"/>
  <c r="E75" i="22" s="1"/>
  <c r="D80" i="22"/>
  <c r="E80" i="22" s="1"/>
  <c r="D77" i="22"/>
  <c r="E77" i="22" s="1"/>
  <c r="D82" i="22"/>
  <c r="E82" i="22" s="1"/>
  <c r="D76" i="22"/>
  <c r="E76" i="22" s="1"/>
  <c r="L78" i="22"/>
  <c r="L72" i="22"/>
  <c r="L80" i="22"/>
  <c r="L73" i="22"/>
  <c r="L74" i="22"/>
  <c r="L77" i="22"/>
  <c r="L81" i="22"/>
  <c r="L82" i="22"/>
  <c r="L79" i="22"/>
  <c r="L76" i="22"/>
  <c r="L75" i="22"/>
  <c r="D72" i="22"/>
  <c r="E72" i="22" s="1"/>
  <c r="D74" i="22"/>
  <c r="E74" i="22" s="1"/>
  <c r="D79" i="22"/>
  <c r="E79" i="22" s="1"/>
  <c r="C18" i="19"/>
  <c r="BM81" i="22" l="1"/>
  <c r="BA72" i="22"/>
  <c r="BM82" i="22"/>
  <c r="BM76" i="22"/>
  <c r="BM77" i="22"/>
  <c r="BM74" i="22"/>
  <c r="BY78" i="22"/>
  <c r="CL75" i="22"/>
  <c r="BY82" i="22"/>
  <c r="BY81" i="22"/>
  <c r="BM73" i="22"/>
  <c r="CL76" i="22"/>
  <c r="BM78" i="22"/>
  <c r="CB83" i="22"/>
  <c r="BY76" i="22"/>
  <c r="BY77" i="22"/>
  <c r="BY79" i="22"/>
  <c r="CL79" i="22"/>
  <c r="CL74" i="22"/>
  <c r="BP83" i="22"/>
  <c r="BY73" i="22"/>
  <c r="CL77" i="22"/>
  <c r="CL82" i="22"/>
  <c r="BY75" i="22"/>
  <c r="CO83" i="22"/>
  <c r="CL78" i="22"/>
  <c r="BY83" i="22"/>
  <c r="BY72" i="22"/>
  <c r="CB72" i="22"/>
  <c r="CL73" i="22"/>
  <c r="BM79" i="22"/>
  <c r="BM72" i="22"/>
  <c r="BY74" i="22"/>
  <c r="BY80" i="22"/>
  <c r="BM80" i="22"/>
  <c r="CL72" i="22"/>
  <c r="CL81" i="22"/>
  <c r="BA73" i="22"/>
  <c r="BA80" i="22"/>
  <c r="BA78" i="22"/>
  <c r="BA79" i="22"/>
  <c r="BA77" i="22"/>
  <c r="BA82" i="22"/>
  <c r="BD83" i="22"/>
  <c r="BA74" i="22"/>
  <c r="BA76" i="22"/>
  <c r="BA75" i="22"/>
  <c r="BA81" i="22"/>
  <c r="AC80" i="22"/>
  <c r="BA83" i="22"/>
  <c r="AO79" i="22"/>
  <c r="AO80" i="22"/>
  <c r="AO73" i="22"/>
  <c r="AO78" i="22"/>
  <c r="AC73" i="22"/>
  <c r="AC81" i="22"/>
  <c r="AC74" i="22"/>
  <c r="AO81" i="22"/>
  <c r="AC82" i="22"/>
  <c r="H72" i="22"/>
  <c r="T61" i="22"/>
  <c r="H79" i="22"/>
  <c r="AC76" i="22"/>
  <c r="AO76" i="22"/>
  <c r="AO74" i="22"/>
  <c r="AC77" i="22"/>
  <c r="AO72" i="22"/>
  <c r="T31" i="22"/>
  <c r="AC79" i="22"/>
  <c r="AO82" i="22"/>
  <c r="AC75" i="22"/>
  <c r="AO75" i="22"/>
  <c r="T46" i="22"/>
  <c r="T66" i="22"/>
  <c r="T36" i="22"/>
  <c r="AO77" i="22"/>
  <c r="AC78" i="22"/>
  <c r="AC72" i="22"/>
  <c r="T19" i="22"/>
  <c r="H71" i="22"/>
  <c r="T41" i="22"/>
  <c r="T51" i="22"/>
  <c r="T22" i="22"/>
  <c r="T56" i="22"/>
  <c r="T26" i="22"/>
  <c r="R67" i="22"/>
  <c r="H82" i="22"/>
  <c r="H77" i="22"/>
  <c r="H78" i="22"/>
  <c r="H73" i="22"/>
  <c r="H81" i="22"/>
  <c r="H75" i="22"/>
  <c r="Q81" i="22"/>
  <c r="Q80" i="22"/>
  <c r="H76" i="22"/>
  <c r="Q78" i="22"/>
  <c r="Q76" i="22"/>
  <c r="Q79" i="22"/>
  <c r="H80" i="22"/>
  <c r="Q72" i="22"/>
  <c r="H74" i="22"/>
  <c r="Q75" i="22"/>
  <c r="Q77" i="22"/>
  <c r="Q74" i="22"/>
  <c r="Q82" i="22"/>
  <c r="Q73" i="22"/>
  <c r="T67" i="22" l="1"/>
  <c r="S67" i="22"/>
  <c r="C39" i="8" l="1"/>
  <c r="E39" i="8" s="1"/>
  <c r="C35" i="8"/>
  <c r="D35" i="8" s="1"/>
  <c r="E35" i="8" s="1"/>
  <c r="E41" i="8" s="1"/>
  <c r="E42" i="8" s="1"/>
  <c r="E43" i="8" s="1"/>
  <c r="E44" i="8" s="1"/>
  <c r="C20" i="8" s="1"/>
  <c r="C38" i="8"/>
  <c r="E38" i="8" s="1"/>
  <c r="C19" i="8" l="1"/>
  <c r="C16" i="19" l="1"/>
  <c r="E46" i="8"/>
  <c r="C37" i="8" l="1"/>
  <c r="E37" i="8" s="1"/>
  <c r="E47" i="8" s="1"/>
  <c r="E48" i="8" s="1"/>
  <c r="J18" i="20" l="1"/>
  <c r="G62" i="17" l="1"/>
  <c r="V62" i="17" s="1"/>
  <c r="G65" i="17" l="1"/>
  <c r="V65" i="17"/>
  <c r="W62" i="17"/>
  <c r="W65" i="17" s="1"/>
  <c r="J20" i="20" l="1"/>
  <c r="J25" i="20" s="1"/>
  <c r="C40" i="8"/>
  <c r="E40" i="8" s="1"/>
  <c r="O20" i="20" l="1"/>
  <c r="O25" i="20" l="1"/>
  <c r="R20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asaad</author>
  </authors>
  <commentList>
    <comment ref="O7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asaad:</t>
        </r>
        <r>
          <rPr>
            <sz val="8"/>
            <color indexed="81"/>
            <rFont val="Tahoma"/>
            <family val="2"/>
          </rPr>
          <t xml:space="preserve">
based on KCH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ahyam</author>
  </authors>
  <commentList>
    <comment ref="D16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ahyam:</t>
        </r>
        <r>
          <rPr>
            <sz val="8"/>
            <color indexed="81"/>
            <rFont val="Tahoma"/>
            <family val="2"/>
          </rPr>
          <t xml:space="preserve">
15404</t>
        </r>
      </text>
    </comment>
    <comment ref="D17" authorId="0" shapeId="0" xr:uid="{00000000-0006-0000-0B00-000002000000}">
      <text>
        <r>
          <rPr>
            <b/>
            <sz val="8"/>
            <color indexed="81"/>
            <rFont val="Tahoma"/>
            <family val="2"/>
          </rPr>
          <t>ahyam:</t>
        </r>
        <r>
          <rPr>
            <sz val="8"/>
            <color indexed="81"/>
            <rFont val="Tahoma"/>
            <family val="2"/>
          </rPr>
          <t xml:space="preserve">
15671</t>
        </r>
      </text>
    </comment>
    <comment ref="O70" authorId="0" shapeId="0" xr:uid="{00000000-0006-0000-0B00-000003000000}">
      <text>
        <r>
          <rPr>
            <b/>
            <sz val="12"/>
            <color indexed="81"/>
            <rFont val="Tahoma"/>
            <family val="2"/>
          </rPr>
          <t>ahyam:</t>
        </r>
        <r>
          <rPr>
            <sz val="12"/>
            <color indexed="81"/>
            <rFont val="Tahoma"/>
            <family val="2"/>
          </rPr>
          <t xml:space="preserve">
this represents that an employee is never fully occupied on reveneu-generating tasks (i.e., tests) and that they spend a proportion of their time on tasks that INDIRECTLY deliver the service, e.g., quality, meetings, as well as on toilet breaks, chats, etc.
CPT model suggests a utilisation rate of less than 50%...tbc once CPT model data has been sense-checked</t>
        </r>
      </text>
    </comment>
    <comment ref="AA70" authorId="0" shapeId="0" xr:uid="{00000000-0006-0000-0B00-000004000000}">
      <text>
        <r>
          <rPr>
            <b/>
            <sz val="12"/>
            <color indexed="81"/>
            <rFont val="Tahoma"/>
            <family val="2"/>
          </rPr>
          <t>ahyam:</t>
        </r>
        <r>
          <rPr>
            <sz val="12"/>
            <color indexed="81"/>
            <rFont val="Tahoma"/>
            <family val="2"/>
          </rPr>
          <t xml:space="preserve">
this represents that an employee is never fully occupied on reveneu-generating tasks (i.e., tests) and that they spend a proportion of their time on tasks that INDIRECTLY deliver the service, e.g., quality, meetings, as well as on toilet breaks, chats, etc.
CPT model suggests a utilisation rate of less than 50%...tbc once CPT model data has been sense-checked</t>
        </r>
      </text>
    </comment>
    <comment ref="AM70" authorId="0" shapeId="0" xr:uid="{00000000-0006-0000-0B00-000005000000}">
      <text>
        <r>
          <rPr>
            <b/>
            <sz val="12"/>
            <color indexed="81"/>
            <rFont val="Tahoma"/>
            <family val="2"/>
          </rPr>
          <t>ahyam:</t>
        </r>
        <r>
          <rPr>
            <sz val="12"/>
            <color indexed="81"/>
            <rFont val="Tahoma"/>
            <family val="2"/>
          </rPr>
          <t xml:space="preserve">
this represents that an employee is never fully occupied on reveneu-generating tasks (i.e., tests) and that they spend a proportion of their time on tasks that INDIRECTLY deliver the service, e.g., quality, meetings, as well as on toilet breaks, chats, etc.
CPT model suggests a utilisation rate of less than 50%...tbc once CPT model data has been sense-checked</t>
        </r>
      </text>
    </comment>
    <comment ref="AY70" authorId="0" shapeId="0" xr:uid="{18E724FE-2EB4-4B85-85C3-814A5F876063}">
      <text>
        <r>
          <rPr>
            <b/>
            <sz val="12"/>
            <color indexed="81"/>
            <rFont val="Tahoma"/>
            <family val="2"/>
          </rPr>
          <t>ahyam:</t>
        </r>
        <r>
          <rPr>
            <sz val="12"/>
            <color indexed="81"/>
            <rFont val="Tahoma"/>
            <family val="2"/>
          </rPr>
          <t xml:space="preserve">
this represents that an employee is never fully occupied on reveneu-generating tasks (i.e., tests) and that they spend a proportion of their time on tasks that INDIRECTLY deliver the service, e.g., quality, meetings, as well as on toilet breaks, chats, etc.
CPT model suggests a utilisation rate of less than 50%...tbc once CPT model data has been sense-checked</t>
        </r>
      </text>
    </comment>
    <comment ref="BK70" authorId="0" shapeId="0" xr:uid="{4D01C9B5-0CCB-4E2E-95EE-E4C6A5F84E8B}">
      <text>
        <r>
          <rPr>
            <b/>
            <sz val="12"/>
            <color indexed="81"/>
            <rFont val="Tahoma"/>
            <family val="2"/>
          </rPr>
          <t>ahyam:</t>
        </r>
        <r>
          <rPr>
            <sz val="12"/>
            <color indexed="81"/>
            <rFont val="Tahoma"/>
            <family val="2"/>
          </rPr>
          <t xml:space="preserve">
this represents that an employee is never fully occupied on reveneu-generating tasks (i.e., tests) and that they spend a proportion of their time on tasks that INDIRECTLY deliver the service, e.g., quality, meetings, as well as on toilet breaks, chats, etc.
CPT model suggests a utilisation rate of less than 50%...tbc once CPT model data has been sense-checked</t>
        </r>
      </text>
    </comment>
    <comment ref="BW70" authorId="0" shapeId="0" xr:uid="{48FD1832-D1A0-4AEA-97C4-90D0B3C17520}">
      <text>
        <r>
          <rPr>
            <b/>
            <sz val="12"/>
            <color indexed="81"/>
            <rFont val="Tahoma"/>
            <family val="2"/>
          </rPr>
          <t>ahyam:</t>
        </r>
        <r>
          <rPr>
            <sz val="12"/>
            <color indexed="81"/>
            <rFont val="Tahoma"/>
            <family val="2"/>
          </rPr>
          <t xml:space="preserve">
this represents that an employee is never fully occupied on reveneu-generating tasks (i.e., tests) and that they spend a proportion of their time on tasks that INDIRECTLY deliver the service, e.g., quality, meetings, as well as on toilet breaks, chats, etc.
CPT model suggests a utilisation rate of less than 50%...tbc once CPT model data has been sense-checked</t>
        </r>
      </text>
    </comment>
    <comment ref="CJ70" authorId="0" shapeId="0" xr:uid="{025014BB-62BA-45E8-AE27-1B8DC9C0553A}">
      <text>
        <r>
          <rPr>
            <b/>
            <sz val="12"/>
            <color indexed="81"/>
            <rFont val="Tahoma"/>
            <family val="2"/>
          </rPr>
          <t>ahyam:</t>
        </r>
        <r>
          <rPr>
            <sz val="12"/>
            <color indexed="81"/>
            <rFont val="Tahoma"/>
            <family val="2"/>
          </rPr>
          <t xml:space="preserve">
this represents that an employee is never fully occupied on reveneu-generating tasks (i.e., tests) and that they spend a proportion of their time on tasks that INDIRECTLY deliver the service, e.g., quality, meetings, as well as on toilet breaks, chats, etc.
CPT model suggests a utilisation rate of less than 50%...tbc once CPT model data has been sense-checked</t>
        </r>
      </text>
    </comment>
    <comment ref="M83" authorId="0" shapeId="0" xr:uid="{00000000-0006-0000-0B00-000006000000}">
      <text>
        <r>
          <rPr>
            <b/>
            <sz val="8"/>
            <color indexed="81"/>
            <rFont val="Tahoma"/>
            <family val="2"/>
          </rPr>
          <t>ahyam:</t>
        </r>
        <r>
          <rPr>
            <sz val="8"/>
            <color indexed="81"/>
            <rFont val="Tahoma"/>
            <family val="2"/>
          </rPr>
          <t xml:space="preserve">
we pay our Trusts £14k/PA *12 months</t>
        </r>
      </text>
    </comment>
    <comment ref="Y83" authorId="0" shapeId="0" xr:uid="{4BD02F6A-6180-424B-ADCC-9089EBBEC1A1}">
      <text>
        <r>
          <rPr>
            <b/>
            <sz val="8"/>
            <color indexed="81"/>
            <rFont val="Tahoma"/>
            <family val="2"/>
          </rPr>
          <t>ahyam:</t>
        </r>
        <r>
          <rPr>
            <sz val="8"/>
            <color indexed="81"/>
            <rFont val="Tahoma"/>
            <family val="2"/>
          </rPr>
          <t xml:space="preserve">
we pay our Trusts £14k/PA *12 months</t>
        </r>
      </text>
    </comment>
    <comment ref="AK83" authorId="0" shapeId="0" xr:uid="{6E14F662-0A4E-44C5-9308-2955EB9713B0}">
      <text>
        <r>
          <rPr>
            <b/>
            <sz val="8"/>
            <color indexed="81"/>
            <rFont val="Tahoma"/>
            <family val="2"/>
          </rPr>
          <t>ahyam:</t>
        </r>
        <r>
          <rPr>
            <sz val="8"/>
            <color indexed="81"/>
            <rFont val="Tahoma"/>
            <family val="2"/>
          </rPr>
          <t xml:space="preserve">
we pay our Trusts £14k/PA *12 months</t>
        </r>
      </text>
    </comment>
    <comment ref="AW83" authorId="0" shapeId="0" xr:uid="{CE57EC60-19C8-4C56-AB66-D4E6176E651E}">
      <text>
        <r>
          <rPr>
            <b/>
            <sz val="8"/>
            <color indexed="81"/>
            <rFont val="Tahoma"/>
            <family val="2"/>
          </rPr>
          <t>ahyam:</t>
        </r>
        <r>
          <rPr>
            <sz val="8"/>
            <color indexed="81"/>
            <rFont val="Tahoma"/>
            <family val="2"/>
          </rPr>
          <t xml:space="preserve">
we pay our Trusts £14k/PA *12 months</t>
        </r>
      </text>
    </comment>
    <comment ref="BI83" authorId="0" shapeId="0" xr:uid="{DC1CC04B-EE11-470B-B202-BD43BA843CB7}">
      <text>
        <r>
          <rPr>
            <b/>
            <sz val="8"/>
            <color indexed="81"/>
            <rFont val="Tahoma"/>
            <family val="2"/>
          </rPr>
          <t>ahyam:</t>
        </r>
        <r>
          <rPr>
            <sz val="8"/>
            <color indexed="81"/>
            <rFont val="Tahoma"/>
            <family val="2"/>
          </rPr>
          <t xml:space="preserve">
we pay our Trusts £14k/PA *12 months</t>
        </r>
      </text>
    </comment>
    <comment ref="BU83" authorId="0" shapeId="0" xr:uid="{55675BD4-AAF3-4A0B-94A0-B3BC7CE21BC0}">
      <text>
        <r>
          <rPr>
            <b/>
            <sz val="8"/>
            <color indexed="81"/>
            <rFont val="Tahoma"/>
            <family val="2"/>
          </rPr>
          <t>ahyam:</t>
        </r>
        <r>
          <rPr>
            <sz val="8"/>
            <color indexed="81"/>
            <rFont val="Tahoma"/>
            <family val="2"/>
          </rPr>
          <t xml:space="preserve">
we pay our Trusts £14k/PA *12 months</t>
        </r>
      </text>
    </comment>
    <comment ref="CH83" authorId="0" shapeId="0" xr:uid="{114492E5-4365-4F5E-B622-839578C17A1D}">
      <text>
        <r>
          <rPr>
            <b/>
            <sz val="8"/>
            <color indexed="81"/>
            <rFont val="Tahoma"/>
            <family val="2"/>
          </rPr>
          <t>ahyam:</t>
        </r>
        <r>
          <rPr>
            <sz val="8"/>
            <color indexed="81"/>
            <rFont val="Tahoma"/>
            <family val="2"/>
          </rPr>
          <t xml:space="preserve">
we pay our Trusts £14k/PA *12 months</t>
        </r>
      </text>
    </comment>
  </commentList>
</comments>
</file>

<file path=xl/sharedStrings.xml><?xml version="1.0" encoding="utf-8"?>
<sst xmlns="http://schemas.openxmlformats.org/spreadsheetml/2006/main" count="1524" uniqueCount="525">
  <si>
    <t>Phlebotomy</t>
  </si>
  <si>
    <t>Labour Band</t>
  </si>
  <si>
    <t>Part No</t>
  </si>
  <si>
    <t>Unit Cost</t>
  </si>
  <si>
    <t>Catalogue No</t>
  </si>
  <si>
    <t>Consumable Description</t>
  </si>
  <si>
    <t>Supplier Code</t>
  </si>
  <si>
    <t>Supplier Name</t>
  </si>
  <si>
    <t>Unit Measurement</t>
  </si>
  <si>
    <t>Measurement per Batch</t>
  </si>
  <si>
    <t>Cost per Batch</t>
  </si>
  <si>
    <t>Band 1</t>
  </si>
  <si>
    <t>Band 2</t>
  </si>
  <si>
    <t>Band 3</t>
  </si>
  <si>
    <t>Band 4</t>
  </si>
  <si>
    <t>Band 5</t>
  </si>
  <si>
    <t>Band 6</t>
  </si>
  <si>
    <t>Band 7</t>
  </si>
  <si>
    <t>Band 8a</t>
  </si>
  <si>
    <t>Band 8b</t>
  </si>
  <si>
    <t>Band 8c</t>
  </si>
  <si>
    <t>Band 8d</t>
  </si>
  <si>
    <t>Band 9</t>
  </si>
  <si>
    <t>Pension</t>
  </si>
  <si>
    <t>Technology</t>
  </si>
  <si>
    <t>Test Name</t>
  </si>
  <si>
    <t>Required</t>
  </si>
  <si>
    <t>Not Required</t>
  </si>
  <si>
    <t>Adult Bleed</t>
  </si>
  <si>
    <t>Paediatric Bleed</t>
  </si>
  <si>
    <t>Change in Methodology</t>
  </si>
  <si>
    <t>New Test</t>
  </si>
  <si>
    <t>3-4 Days</t>
  </si>
  <si>
    <t>Test Type</t>
  </si>
  <si>
    <t>1 Hour</t>
  </si>
  <si>
    <t>2 Hours</t>
  </si>
  <si>
    <t>4 Hours</t>
  </si>
  <si>
    <t>8 Hours (Same Day)</t>
  </si>
  <si>
    <t>24 Hours</t>
  </si>
  <si>
    <t>2 Days</t>
  </si>
  <si>
    <t>7 Days</t>
  </si>
  <si>
    <t>&gt; 7 days</t>
  </si>
  <si>
    <t>Consumables</t>
  </si>
  <si>
    <t>Part Number</t>
  </si>
  <si>
    <t>List Cost</t>
  </si>
  <si>
    <t>Actual Cost</t>
  </si>
  <si>
    <t>Description</t>
  </si>
  <si>
    <t>Central Specimen Reception</t>
  </si>
  <si>
    <t>Item 1</t>
  </si>
  <si>
    <t>Item 2</t>
  </si>
  <si>
    <t>Item 3</t>
  </si>
  <si>
    <t>Booking In</t>
  </si>
  <si>
    <t>Aliquot</t>
  </si>
  <si>
    <t>Booking In &amp; Separation</t>
  </si>
  <si>
    <t>Labour Cost</t>
  </si>
  <si>
    <t>Maintenance %</t>
  </si>
  <si>
    <t>Writedown Period (Years)</t>
  </si>
  <si>
    <t>Laboratory</t>
  </si>
  <si>
    <t>Consumables 1</t>
  </si>
  <si>
    <t>Consumables 2</t>
  </si>
  <si>
    <t>UK &amp; Ireland</t>
  </si>
  <si>
    <t>International</t>
  </si>
  <si>
    <t>Total Equipment Cost</t>
  </si>
  <si>
    <t>Rate</t>
  </si>
  <si>
    <t>Salary Min</t>
  </si>
  <si>
    <t>High Cost Allowance - Lower</t>
  </si>
  <si>
    <t>Salary Max</t>
  </si>
  <si>
    <t>High Cost Allowance - Upper</t>
  </si>
  <si>
    <t>National Insurance</t>
  </si>
  <si>
    <t>Employers' Contracted-Out Rebate, Salary Related Schemes</t>
  </si>
  <si>
    <t>Class 2 Small Earnings Exception</t>
  </si>
  <si>
    <t>Primary Threshold</t>
  </si>
  <si>
    <t>Secondary Threshold</t>
  </si>
  <si>
    <t>Higher Cost Allowance</t>
  </si>
  <si>
    <t>Point 2   </t>
  </si>
  <si>
    <t>Point 3   </t>
  </si>
  <si>
    <t>Point 6</t>
  </si>
  <si>
    <t>Point 8</t>
  </si>
  <si>
    <t>Point 9</t>
  </si>
  <si>
    <t>Point 11</t>
  </si>
  <si>
    <t>Point 12</t>
  </si>
  <si>
    <t>Point 13</t>
  </si>
  <si>
    <t>Point 15</t>
  </si>
  <si>
    <t>Point 16</t>
  </si>
  <si>
    <t>Point 17</t>
  </si>
  <si>
    <t>Point 18</t>
  </si>
  <si>
    <t>Point 19</t>
  </si>
  <si>
    <t>Point 21</t>
  </si>
  <si>
    <t>Point 23</t>
  </si>
  <si>
    <t>Point 25</t>
  </si>
  <si>
    <t>Point 26</t>
  </si>
  <si>
    <t>Point 27</t>
  </si>
  <si>
    <t>Point 28</t>
  </si>
  <si>
    <t>Point 29</t>
  </si>
  <si>
    <t>Point 30</t>
  </si>
  <si>
    <t>Point 32</t>
  </si>
  <si>
    <t>Point 33</t>
  </si>
  <si>
    <t>Point 34</t>
  </si>
  <si>
    <t>Point 36</t>
  </si>
  <si>
    <t>Point 37</t>
  </si>
  <si>
    <t>Point 38</t>
  </si>
  <si>
    <t>Point 40</t>
  </si>
  <si>
    <t>Point 41</t>
  </si>
  <si>
    <t>Point 42</t>
  </si>
  <si>
    <t>Point 44</t>
  </si>
  <si>
    <t>Point 45</t>
  </si>
  <si>
    <t>Point 46</t>
  </si>
  <si>
    <t>Point 48</t>
  </si>
  <si>
    <t>Point 49</t>
  </si>
  <si>
    <t>Point 50</t>
  </si>
  <si>
    <t>Point 52</t>
  </si>
  <si>
    <t>Point 53</t>
  </si>
  <si>
    <t>Point 54</t>
  </si>
  <si>
    <t>52 weeks x 5 working days</t>
  </si>
  <si>
    <t>Less average holiday</t>
  </si>
  <si>
    <t>Less Bank Holidays</t>
  </si>
  <si>
    <t>Days Sick</t>
  </si>
  <si>
    <t>Training</t>
  </si>
  <si>
    <t>Minutes</t>
  </si>
  <si>
    <t>Procedure Code</t>
  </si>
  <si>
    <t>Medical Interpretation</t>
  </si>
  <si>
    <t>Competition</t>
  </si>
  <si>
    <t>Competitive Pricing</t>
  </si>
  <si>
    <t>Sensitivity</t>
  </si>
  <si>
    <t>Specificity</t>
  </si>
  <si>
    <t>Methodology</t>
  </si>
  <si>
    <t>Partner Pricing</t>
  </si>
  <si>
    <t>List Price</t>
  </si>
  <si>
    <t>Expected Volumes</t>
  </si>
  <si>
    <t>Notes</t>
  </si>
  <si>
    <t>Allocated Resources</t>
  </si>
  <si>
    <t>Utilities</t>
  </si>
  <si>
    <t>Margin</t>
  </si>
  <si>
    <t>Uplift to direct labour</t>
  </si>
  <si>
    <t>Cost per minute / per test</t>
  </si>
  <si>
    <t>Total uplift</t>
  </si>
  <si>
    <t>Commercial Price</t>
  </si>
  <si>
    <t>NHS Price (Rounded, Internal &amp; Exact)</t>
  </si>
  <si>
    <t>Go Live Date</t>
  </si>
  <si>
    <t>Procedure Number (PDM)</t>
  </si>
  <si>
    <t>International Price</t>
  </si>
  <si>
    <t>Labour cost per test</t>
  </si>
  <si>
    <t>Costs</t>
  </si>
  <si>
    <t>Uplift</t>
  </si>
  <si>
    <t>Total Cost</t>
  </si>
  <si>
    <t>Contact time per test (mins)</t>
  </si>
  <si>
    <t>Sub Total</t>
  </si>
  <si>
    <t>Total</t>
  </si>
  <si>
    <t>Consumables cost per test (inc controls)</t>
  </si>
  <si>
    <t>Name</t>
  </si>
  <si>
    <t>Signed</t>
  </si>
  <si>
    <t>Informatics</t>
  </si>
  <si>
    <t>Informatics Creator</t>
  </si>
  <si>
    <t>Approved By Business Development</t>
  </si>
  <si>
    <t>Approved By Finance</t>
  </si>
  <si>
    <t>Core Chemistry</t>
  </si>
  <si>
    <t>Core Haematology</t>
  </si>
  <si>
    <t>Reference Haematology</t>
  </si>
  <si>
    <t>Blood Transfusion</t>
  </si>
  <si>
    <t>Cytology</t>
  </si>
  <si>
    <t>Histopathology</t>
  </si>
  <si>
    <t>Microbiology</t>
  </si>
  <si>
    <t>Oral Microbiology</t>
  </si>
  <si>
    <t>Virology</t>
  </si>
  <si>
    <t>Immunology</t>
  </si>
  <si>
    <t>Rapid Response Laboratories</t>
  </si>
  <si>
    <t>Molecular</t>
  </si>
  <si>
    <t>Clinical Transplantation</t>
  </si>
  <si>
    <t>Oral Pathology</t>
  </si>
  <si>
    <t>DNA Genetics</t>
  </si>
  <si>
    <t>Cytogenetics</t>
  </si>
  <si>
    <t>Biochemical Genetics</t>
  </si>
  <si>
    <t>Toxicology</t>
  </si>
  <si>
    <t>Molecular Haemostasis</t>
  </si>
  <si>
    <t>Diagnostic Haemostasis</t>
  </si>
  <si>
    <t>Reference Chemistry</t>
  </si>
  <si>
    <t>Inherrited Metabolic Disorders</t>
  </si>
  <si>
    <t>New Born Screening</t>
  </si>
  <si>
    <t>Nutristasis</t>
  </si>
  <si>
    <t>Purines</t>
  </si>
  <si>
    <t>Dermatohistopathology</t>
  </si>
  <si>
    <t>EB Laboratory</t>
  </si>
  <si>
    <t>IMF</t>
  </si>
  <si>
    <t>Mycology</t>
  </si>
  <si>
    <t>Skin Tumour Unit</t>
  </si>
  <si>
    <t>Maintenance, Administration &amp; Compliance</t>
  </si>
  <si>
    <t>Training &amp; Testing</t>
  </si>
  <si>
    <t>Research &amp; Development</t>
  </si>
  <si>
    <t>Out of Hours &amp; Overtime</t>
  </si>
  <si>
    <t>Operational Management</t>
  </si>
  <si>
    <t>% of Utilities</t>
  </si>
  <si>
    <t>GSTS Billable Status</t>
  </si>
  <si>
    <t>GSTT Billable Status</t>
  </si>
  <si>
    <t>CAPEX</t>
  </si>
  <si>
    <t>CSR</t>
  </si>
  <si>
    <t>Preimplantation</t>
  </si>
  <si>
    <t>Array</t>
  </si>
  <si>
    <t>Constitutional/Breakage</t>
  </si>
  <si>
    <t>Oncology/FiSH</t>
  </si>
  <si>
    <t>PCR/MLPA</t>
  </si>
  <si>
    <t>PGD</t>
  </si>
  <si>
    <t>Billable</t>
  </si>
  <si>
    <t>Non-Billable</t>
  </si>
  <si>
    <t>Contractual Billable Status</t>
  </si>
  <si>
    <t>Activity Reporting</t>
  </si>
  <si>
    <t>Total Allocated Resources</t>
  </si>
  <si>
    <t>Procedure Name</t>
  </si>
  <si>
    <t>Internal = direct/indirect costs excluding overheads</t>
  </si>
  <si>
    <t>Exact = direct/indirect costs including overheads</t>
  </si>
  <si>
    <t>Rounded = exact costs rounded up</t>
  </si>
  <si>
    <t>Commercial = arbitory cost based on market value</t>
  </si>
  <si>
    <t>International - arbitory cost based on international market value</t>
  </si>
  <si>
    <t>Days</t>
  </si>
  <si>
    <t>Expected Turn-around Time (based on batch size)</t>
  </si>
  <si>
    <t>Corporate Overheads</t>
  </si>
  <si>
    <t>Contribution per Test</t>
  </si>
  <si>
    <t>Expected Revenues (List Price) pa</t>
  </si>
  <si>
    <t>Expected Total Contribution pa</t>
  </si>
  <si>
    <t>Figures as per JW model 04/09/12</t>
  </si>
  <si>
    <t>Clinical trials</t>
  </si>
  <si>
    <t>Site</t>
  </si>
  <si>
    <t>Owner</t>
  </si>
  <si>
    <t>Contact Details</t>
  </si>
  <si>
    <t>Reference Range</t>
  </si>
  <si>
    <t>Units</t>
  </si>
  <si>
    <t>Clinical Data</t>
  </si>
  <si>
    <t>London Weighting</t>
  </si>
  <si>
    <t>Inner</t>
  </si>
  <si>
    <t>Outer</t>
  </si>
  <si>
    <t>Fringe</t>
  </si>
  <si>
    <t>Tables for Drop Down Menus</t>
  </si>
  <si>
    <t>Turn Around Time</t>
  </si>
  <si>
    <t>Bedford</t>
  </si>
  <si>
    <t>Sendaway Service Description</t>
  </si>
  <si>
    <t>Phlebotomy Service Description</t>
  </si>
  <si>
    <t>CSR Service Description</t>
  </si>
  <si>
    <t>Chemistry</t>
  </si>
  <si>
    <t>Haematology</t>
  </si>
  <si>
    <t>Admin &amp; Clerical</t>
  </si>
  <si>
    <t>Bill of Materials - Summary Test Information</t>
  </si>
  <si>
    <t>Billing</t>
  </si>
  <si>
    <t>Bill of Materials - Summary for Distribution</t>
  </si>
  <si>
    <t>Informatics Information</t>
  </si>
  <si>
    <t>Expected Volumes (per annum)</t>
  </si>
  <si>
    <t>This sheet only can be shared with customers if required</t>
  </si>
  <si>
    <t>Quoted Price per Test</t>
  </si>
  <si>
    <t>For internal use only - DO NOT DISTRIBUTE</t>
  </si>
  <si>
    <t>Total Direct Cost</t>
  </si>
  <si>
    <t>Consumables 3</t>
  </si>
  <si>
    <t>Consumables 4</t>
  </si>
  <si>
    <t>Consumables 5</t>
  </si>
  <si>
    <t>Date:</t>
  </si>
  <si>
    <t>Band</t>
  </si>
  <si>
    <t>HCA limits</t>
  </si>
  <si>
    <t>Spine</t>
  </si>
  <si>
    <t>Total Salary</t>
  </si>
  <si>
    <t>Average 2017 Gross Salary</t>
  </si>
  <si>
    <t>Top of Band Gross Salary</t>
  </si>
  <si>
    <t>% diff</t>
  </si>
  <si>
    <t>2018/19</t>
  </si>
  <si>
    <t>Hours</t>
  </si>
  <si>
    <t>NI ers</t>
  </si>
  <si>
    <t>Assumptions per employee</t>
  </si>
  <si>
    <t>&lt; select &gt;</t>
  </si>
  <si>
    <t>GSTT</t>
  </si>
  <si>
    <t>KCH Denmark Hill</t>
  </si>
  <si>
    <t>KCH PRUH</t>
  </si>
  <si>
    <t>Bacteriology</t>
  </si>
  <si>
    <t>Blood Sciences</t>
  </si>
  <si>
    <t>Total Lab Consumables cost</t>
  </si>
  <si>
    <t>Centrifuge</t>
  </si>
  <si>
    <t>All</t>
  </si>
  <si>
    <t>Top of Band Cost/min</t>
  </si>
  <si>
    <t>Avg Cost/min</t>
  </si>
  <si>
    <t>Average Gross Salary</t>
  </si>
  <si>
    <t>Top of Band Cost / Min (with Utilisation multiplier)</t>
  </si>
  <si>
    <t>% diff to avg cost / min</t>
  </si>
  <si>
    <t>Utilisation Rate</t>
  </si>
  <si>
    <t>2019/20</t>
  </si>
  <si>
    <t>2020/21</t>
  </si>
  <si>
    <t>additional consolidated cash payments are due</t>
  </si>
  <si>
    <t>Non-consol (paid in mnthly inst)</t>
  </si>
  <si>
    <t>Non-consol cash pymnt April</t>
  </si>
  <si>
    <t>http://www.nhsemployers.org/employershandbook/afc_tc_of_service_handbook_fb.pdf</t>
  </si>
  <si>
    <t>Annex 2</t>
  </si>
  <si>
    <t>page 178</t>
  </si>
  <si>
    <t>http://taxaid.org.uk/guides/information/an-introduction-to-income-tax-national-insurance-and-tax-credits/national-insurance/national-insurance-for-the-self-employed</t>
  </si>
  <si>
    <t>http://www.nhsemployers.org/tchandbook/annex-4-to-10/annex-9-high-cost-area-supplements</t>
  </si>
  <si>
    <t>% incr. vs 17/18</t>
  </si>
  <si>
    <t>Cost incr. vs 17/18</t>
  </si>
  <si>
    <t>2017/18</t>
  </si>
  <si>
    <t>Cost incr. vs 18/19</t>
  </si>
  <si>
    <t>Avg % incr. vs 18/19</t>
  </si>
  <si>
    <t>% incr. vs 18/19</t>
  </si>
  <si>
    <t>Avg % incr. vs 17/18</t>
  </si>
  <si>
    <t>this is an approximation - update when actuals known</t>
  </si>
  <si>
    <t>Cost incr. vs 19/20</t>
  </si>
  <si>
    <t>% incr. vs 19/20</t>
  </si>
  <si>
    <t>Avg % incr. vs 19/20</t>
  </si>
  <si>
    <t>Salary Source:</t>
  </si>
  <si>
    <t>Lab</t>
  </si>
  <si>
    <t>Service Line</t>
  </si>
  <si>
    <t>Pay Non Attributable Cost Ratio</t>
  </si>
  <si>
    <t>Non Pay Non Attributable Cost Ratio</t>
  </si>
  <si>
    <t>Unique Code</t>
  </si>
  <si>
    <t>Unique Code 1</t>
  </si>
  <si>
    <t>Genetics</t>
  </si>
  <si>
    <t>Infection Sciences</t>
  </si>
  <si>
    <t>Reference</t>
  </si>
  <si>
    <t>Tissue Sciences</t>
  </si>
  <si>
    <t>based on KCH Denmark Hill</t>
  </si>
  <si>
    <t>Trust Consultant</t>
  </si>
  <si>
    <t>Days @ work</t>
  </si>
  <si>
    <t>NHS average</t>
  </si>
  <si>
    <t>2021/22</t>
  </si>
  <si>
    <t>Cost incr. vs 20/21</t>
  </si>
  <si>
    <t>% incr. vs 20/21</t>
  </si>
  <si>
    <t>Avg % incr. vs 20/21</t>
  </si>
  <si>
    <t>2022/23</t>
  </si>
  <si>
    <t>Top of Band Gross Salary inc ERNIC &amp; Pens</t>
  </si>
  <si>
    <t>includes 0.5% Apprenticehip Levy</t>
  </si>
  <si>
    <t>Pension &amp; App Levy</t>
  </si>
  <si>
    <t>2022/23 Cost of Emploment inc ErNIC, Pens, App Levy</t>
  </si>
  <si>
    <t>Avg Gross Salary inc ErNIC, Pens, App Levy</t>
  </si>
  <si>
    <t>Cost incr. vs 21/22</t>
  </si>
  <si>
    <t>% incr. vs 21/22</t>
  </si>
  <si>
    <t>Avg % incr. vs 21/22</t>
  </si>
  <si>
    <t>2023/24</t>
  </si>
  <si>
    <t>Cost incr. vs 22/23</t>
  </si>
  <si>
    <t>% incr. vs 22/23</t>
  </si>
  <si>
    <t>Avg % incr. vs 22/23</t>
  </si>
  <si>
    <t>Class 1 Secondary Threshold</t>
  </si>
  <si>
    <t>2023/24 Cost of Emploment inc ErNIC, Pens, App Levy</t>
  </si>
  <si>
    <t>Synnovis Analytics</t>
  </si>
  <si>
    <t>Synnovis Services</t>
  </si>
  <si>
    <t>Total Synnovis</t>
  </si>
  <si>
    <t>FL1</t>
  </si>
  <si>
    <t>B3 0 - 1</t>
  </si>
  <si>
    <t>0 -1</t>
  </si>
  <si>
    <t>CL1</t>
  </si>
  <si>
    <t>B3 1 - 2</t>
  </si>
  <si>
    <t>1 - 2</t>
  </si>
  <si>
    <t>EXP</t>
  </si>
  <si>
    <t>B3 2+</t>
  </si>
  <si>
    <t>2+</t>
  </si>
  <si>
    <t>B4 0 - 1</t>
  </si>
  <si>
    <t>0 - 1</t>
  </si>
  <si>
    <t>B4 1 - 2</t>
  </si>
  <si>
    <t>CL2</t>
  </si>
  <si>
    <t>B4 2 - 3</t>
  </si>
  <si>
    <t>2 - 3</t>
  </si>
  <si>
    <t>B4 3+</t>
  </si>
  <si>
    <t>3+</t>
  </si>
  <si>
    <t>B5 0 - 1</t>
  </si>
  <si>
    <t>FL2</t>
  </si>
  <si>
    <t>B5 1 - 2</t>
  </si>
  <si>
    <t>B5 2 - 3</t>
  </si>
  <si>
    <t>B5 3 - 4</t>
  </si>
  <si>
    <t>3 - 4</t>
  </si>
  <si>
    <t>B5 +4</t>
  </si>
  <si>
    <t>4+</t>
  </si>
  <si>
    <t>B6 0 - 1</t>
  </si>
  <si>
    <t>B6 1 - 2</t>
  </si>
  <si>
    <t>B6 2 - 3</t>
  </si>
  <si>
    <t>B6 3 - 4</t>
  </si>
  <si>
    <t>B6 +4</t>
  </si>
  <si>
    <t>B7 0 - 1</t>
  </si>
  <si>
    <t>B7 1 - 2</t>
  </si>
  <si>
    <t>B7 2 - 3</t>
  </si>
  <si>
    <t>B7 3 - 4</t>
  </si>
  <si>
    <t>B7 +4</t>
  </si>
  <si>
    <t>B8a 0 - 1</t>
  </si>
  <si>
    <t>B8a 1 - 2</t>
  </si>
  <si>
    <t>B8a 2 - 3</t>
  </si>
  <si>
    <t>B8a 3 - 4</t>
  </si>
  <si>
    <t>B8a 4+</t>
  </si>
  <si>
    <t>B8b 0 - 1</t>
  </si>
  <si>
    <t>B8b 1 - 2</t>
  </si>
  <si>
    <t>B8b 2 - 3</t>
  </si>
  <si>
    <t>B8b 3 - 4</t>
  </si>
  <si>
    <t>B8b 4+</t>
  </si>
  <si>
    <t>B8c 0 - 1</t>
  </si>
  <si>
    <t>B8c 1 - 2</t>
  </si>
  <si>
    <t>B8c 2 - 3</t>
  </si>
  <si>
    <t>B8c 3 - 4</t>
  </si>
  <si>
    <t>B8c 4+</t>
  </si>
  <si>
    <t>B8d 0 - 1</t>
  </si>
  <si>
    <t>B8d 1 - 2</t>
  </si>
  <si>
    <t>B8d 2 - 3</t>
  </si>
  <si>
    <t>B8d 3 - 4</t>
  </si>
  <si>
    <t>B8d 4+</t>
  </si>
  <si>
    <t>B9 0 - 1</t>
  </si>
  <si>
    <t>B9 1 - 2</t>
  </si>
  <si>
    <t>B9 2 - 3</t>
  </si>
  <si>
    <t>B9 3 - 4</t>
  </si>
  <si>
    <t>B9 4+</t>
  </si>
  <si>
    <t xml:space="preserve">Pay rise </t>
  </si>
  <si>
    <t>SYNLAB Hospital</t>
  </si>
  <si>
    <t>Synnovis code</t>
  </si>
  <si>
    <t>Years in Band</t>
  </si>
  <si>
    <t>Combined Salary &amp; location Allowance</t>
  </si>
  <si>
    <t>this is actual per govt.uk]</t>
  </si>
  <si>
    <t>Staff Costs</t>
  </si>
  <si>
    <t>Total Staff Cost</t>
  </si>
  <si>
    <t>Quantity</t>
  </si>
  <si>
    <t xml:space="preserve">Consumables </t>
  </si>
  <si>
    <t>Consumables 6</t>
  </si>
  <si>
    <t>Consumables 7</t>
  </si>
  <si>
    <t>Consumables 8</t>
  </si>
  <si>
    <t>Consumables 9</t>
  </si>
  <si>
    <t>Consumables 10</t>
  </si>
  <si>
    <t>Consumables 11</t>
  </si>
  <si>
    <t>SS</t>
  </si>
  <si>
    <t>SA</t>
  </si>
  <si>
    <t xml:space="preserve">Total </t>
  </si>
  <si>
    <t>Award Type</t>
  </si>
  <si>
    <t>DO NOT DELETE</t>
  </si>
  <si>
    <t>Agile</t>
  </si>
  <si>
    <t>Progressive</t>
  </si>
  <si>
    <t>Transformative</t>
  </si>
  <si>
    <t xml:space="preserve">Purchase or Rental </t>
  </si>
  <si>
    <t>Purchase</t>
  </si>
  <si>
    <t>Rental</t>
  </si>
  <si>
    <t>Other Costs - Including Travel, vouchers, etc</t>
  </si>
  <si>
    <t>Other Costs</t>
  </si>
  <si>
    <t>Lead Name</t>
  </si>
  <si>
    <t>Joe Bloggs</t>
  </si>
  <si>
    <t>Accreditation Costs</t>
  </si>
  <si>
    <t>Now review the Summary sheet</t>
  </si>
  <si>
    <t>List Cost/Rental Cost - Including VAT</t>
  </si>
  <si>
    <t>Staff Type</t>
  </si>
  <si>
    <t>Current Member of Staff</t>
  </si>
  <si>
    <t>Third Party</t>
  </si>
  <si>
    <t>Will Need to be Advertised</t>
  </si>
  <si>
    <t>Staff member need for full processing of samples</t>
  </si>
  <si>
    <t>Staff member needed to validate samples</t>
  </si>
  <si>
    <t>Job Title</t>
  </si>
  <si>
    <t>MLA</t>
  </si>
  <si>
    <t>Lab Manager</t>
  </si>
  <si>
    <t>Project Manager</t>
  </si>
  <si>
    <t>Innovation Fund Application Breakdown</t>
  </si>
  <si>
    <t>Needed to help co-ordinate</t>
  </si>
  <si>
    <t>IT</t>
  </si>
  <si>
    <t>Help to set up software</t>
  </si>
  <si>
    <t>BMS</t>
  </si>
  <si>
    <t>Months</t>
  </si>
  <si>
    <t>Cost / Work Day (WD)</t>
  </si>
  <si>
    <t>Annual Work Days</t>
  </si>
  <si>
    <t>Avg Annual Leave</t>
  </si>
  <si>
    <t>Avg Sick (avg NHS)</t>
  </si>
  <si>
    <t>Avg Training / Conferences etc</t>
  </si>
  <si>
    <t>Monthly</t>
  </si>
  <si>
    <t>Help with initial set up</t>
  </si>
  <si>
    <t>Length of Project</t>
  </si>
  <si>
    <t xml:space="preserve">Add Staff Costs Contingency </t>
  </si>
  <si>
    <t xml:space="preserve">£-   </t>
  </si>
  <si>
    <t>UPDATED 13/08/2024</t>
  </si>
  <si>
    <t>Non Laboratory Time in Months/Days</t>
  </si>
  <si>
    <t>Year 1</t>
  </si>
  <si>
    <t xml:space="preserve"> Year 2</t>
  </si>
  <si>
    <t>Year 3</t>
  </si>
  <si>
    <t>18 Months</t>
  </si>
  <si>
    <t>Equipment Purchase/Rent</t>
  </si>
  <si>
    <t>Manufacturer / Supplier</t>
  </si>
  <si>
    <t>Writedown
Period 
(Years)</t>
  </si>
  <si>
    <t>% Usage for IAF</t>
  </si>
  <si>
    <t>Y1</t>
  </si>
  <si>
    <t>Y2</t>
  </si>
  <si>
    <t>Y3</t>
  </si>
  <si>
    <t>Existing Equipment</t>
  </si>
  <si>
    <t>Check</t>
  </si>
  <si>
    <t>Consumables 12</t>
  </si>
  <si>
    <t>Consumables 13</t>
  </si>
  <si>
    <t>Consumables 14</t>
  </si>
  <si>
    <t>Consumables 15</t>
  </si>
  <si>
    <t>Consumables 16</t>
  </si>
  <si>
    <t>Consumables 17</t>
  </si>
  <si>
    <t>Consumables 18</t>
  </si>
  <si>
    <t>Consumables 19</t>
  </si>
  <si>
    <t>Consumables 20</t>
  </si>
  <si>
    <t>UNGROUP FOR YEAR 2</t>
  </si>
  <si>
    <t>UNGROUP FOR YEAR 3</t>
  </si>
  <si>
    <t>Duration</t>
  </si>
  <si>
    <t>Section 1</t>
  </si>
  <si>
    <t>Section 2</t>
  </si>
  <si>
    <t>Be aware of the different entities and type of staff you require.</t>
  </si>
  <si>
    <t>Please contact the Finance Business Partner for IAF, if you have any queries</t>
  </si>
  <si>
    <t>julie.kooseenlin@synnovis.co.uk</t>
  </si>
  <si>
    <t>Laboratory Time in Months/Days</t>
  </si>
  <si>
    <t xml:space="preserve">Brief Description </t>
  </si>
  <si>
    <t>Date of Application</t>
  </si>
  <si>
    <t>Staff can be costed in either days or months.</t>
  </si>
  <si>
    <t>Section 3</t>
  </si>
  <si>
    <t>Please list all the consumables needed to complete the project.</t>
  </si>
  <si>
    <r>
      <t>Input Cells are light blue with blue text</t>
    </r>
    <r>
      <rPr>
        <sz val="12"/>
        <color indexed="57"/>
        <rFont val="Arial"/>
        <family val="2"/>
      </rPr>
      <t/>
    </r>
  </si>
  <si>
    <t>Calculations are black text - no need to overtype</t>
  </si>
  <si>
    <t>Calculations are red text - no need to overtype</t>
  </si>
  <si>
    <t>Instructions For Completing the Application</t>
  </si>
  <si>
    <t>The purpose of this template is to capture all the relevant cost information for IAF proposals</t>
  </si>
  <si>
    <t>Please complete all the site and department details in section 1, these are needed to identify the type award and the duration.</t>
  </si>
  <si>
    <t>ALL INFORMATION INPUT FEEDS THROUGH TO THE SUMMARY TAB</t>
  </si>
  <si>
    <t>Staffing costs for the project.</t>
  </si>
  <si>
    <t xml:space="preserve">There may also be Accreditation Costs  </t>
  </si>
  <si>
    <t>Section 4 &amp; 5</t>
  </si>
  <si>
    <t xml:space="preserve">Please see the Inputs(Example) Tab - this shows an example of a completed form </t>
  </si>
  <si>
    <t>Please list the equipment needed to carry out the project.</t>
  </si>
  <si>
    <t>This includes exisiting and rented equipement.</t>
  </si>
  <si>
    <t>Reagents 1</t>
  </si>
  <si>
    <t>Reagents 2</t>
  </si>
  <si>
    <t>Reagents 3</t>
  </si>
  <si>
    <t>Reagents 4</t>
  </si>
  <si>
    <t>Reagents 5</t>
  </si>
  <si>
    <t>Reagents 6</t>
  </si>
  <si>
    <t>Reagents 7</t>
  </si>
  <si>
    <t>Reagents 8</t>
  </si>
  <si>
    <t>Reagents 9</t>
  </si>
  <si>
    <t>Reagents 10</t>
  </si>
  <si>
    <t>Cost Excluding VAT</t>
  </si>
  <si>
    <t>Salary 2025/26</t>
  </si>
  <si>
    <t>2025/26 Cost of Emploment inc ErNIC, Pens, App Levy</t>
  </si>
  <si>
    <t>25/26</t>
  </si>
  <si>
    <t>`</t>
  </si>
  <si>
    <t>Calculations are red text - do not overtype</t>
  </si>
  <si>
    <t>Calculations are black text -  do not overtype</t>
  </si>
  <si>
    <r>
      <rPr>
        <b/>
        <sz val="11"/>
        <color rgb="FF333399"/>
        <rFont val="Arial"/>
        <family val="2"/>
      </rPr>
      <t>Input Cells</t>
    </r>
    <r>
      <rPr>
        <sz val="11"/>
        <color indexed="62"/>
        <rFont val="Arial"/>
        <family val="2"/>
      </rPr>
      <t xml:space="preserve"> are light blue with blue text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</si>
</sst>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%"/>
    <numFmt numFmtId="167" formatCode="_-&quot;£&quot;* #,##0_-;\-&quot;£&quot;* #,##0_-;_-&quot;£&quot;* &quot;-&quot;??_-;_-@_-"/>
    <numFmt numFmtId="168" formatCode="_-[$£-809]* #,##0.00_-;\-[$£-809]* #,##0.00_-;_-[$£-809]* &quot;-&quot;??_-;_-@_-"/>
    <numFmt numFmtId="169" formatCode="#,##0_-;[Red]\(#,##0\);\-_-"/>
    <numFmt numFmtId="170" formatCode="#,##0.0_-;[Red]\(#,##0.0\);\-_-"/>
    <numFmt numFmtId="171" formatCode="#,##0_-;\(#,##0\);\-_-"/>
    <numFmt numFmtId="172" formatCode="_-&quot;£&quot;* #,##0.00_-;[Red]_-&quot;£&quot;* \(#,##0.00\);_-&quot;£&quot;* &quot;-&quot;??_-;_-@_-"/>
    <numFmt numFmtId="173" formatCode="[Color10]#,##0%_-;[Color9]\(#,##0\)%;\-_-"/>
    <numFmt numFmtId="174" formatCode="_-&quot;£&quot;* #,##0_-;\-&quot;£&quot;* #,##0_-;_-&quot;£&quot;* &quot;-&quot;?_-;_-@_-"/>
    <numFmt numFmtId="175" formatCode="_(&quot;$&quot;* #,##0.00_);_(&quot;$&quot;* \(#,##0.00\);_(&quot;$&quot;* &quot;-&quot;??_);_(@_)"/>
    <numFmt numFmtId="176" formatCode="_-[$£-809]* #,##0_-;\-[$£-809]* #,##0_-;_-[$£-809]* &quot;-&quot;??_-;_-@_-"/>
    <numFmt numFmtId="177" formatCode="_-&quot;£&quot;* #,##0_-;[Red]_-&quot;£&quot;* \(#,##0\);_-&quot;£&quot;* &quot;-&quot;??_-;_-@_-"/>
  </numFmts>
  <fonts count="8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Helv"/>
      <charset val="204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u/>
      <sz val="11"/>
      <color indexed="9"/>
      <name val="Calibri"/>
      <family val="2"/>
    </font>
    <font>
      <sz val="11"/>
      <color indexed="8"/>
      <name val="Arial"/>
      <family val="2"/>
    </font>
    <font>
      <b/>
      <sz val="11"/>
      <color indexed="10"/>
      <name val="Arial"/>
      <family val="2"/>
    </font>
    <font>
      <sz val="10"/>
      <color indexed="8"/>
      <name val="Arial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11"/>
      <color indexed="62"/>
      <name val="Arial"/>
      <family val="2"/>
    </font>
    <font>
      <sz val="10"/>
      <color indexed="57"/>
      <name val="Arial"/>
      <family val="2"/>
    </font>
    <font>
      <b/>
      <sz val="18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62"/>
      <name val="Arial"/>
      <family val="2"/>
    </font>
    <font>
      <b/>
      <sz val="11"/>
      <color indexed="57"/>
      <name val="Arial"/>
      <family val="2"/>
    </font>
    <font>
      <b/>
      <u/>
      <sz val="16"/>
      <color indexed="8"/>
      <name val="Arial"/>
      <family val="2"/>
    </font>
    <font>
      <sz val="11"/>
      <color indexed="57"/>
      <name val="Arial"/>
      <family val="2"/>
    </font>
    <font>
      <u/>
      <sz val="11"/>
      <color indexed="8"/>
      <name val="Arial"/>
      <family val="2"/>
    </font>
    <font>
      <sz val="10"/>
      <color indexed="8"/>
      <name val="Verdana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0"/>
      <color rgb="FF333399"/>
      <name val="Arial"/>
      <family val="2"/>
    </font>
    <font>
      <sz val="10"/>
      <color theme="0"/>
      <name val="Arial"/>
      <family val="2"/>
    </font>
    <font>
      <b/>
      <sz val="20"/>
      <color theme="0"/>
      <name val="Arial"/>
      <family val="2"/>
    </font>
    <font>
      <sz val="9"/>
      <color rgb="FF333399"/>
      <name val="Arial"/>
      <family val="2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color theme="0" tint="-0.34998626667073579"/>
      <name val="Arial"/>
      <family val="2"/>
    </font>
    <font>
      <i/>
      <sz val="10"/>
      <color theme="0" tint="-0.34998626667073579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i/>
      <sz val="10"/>
      <color indexed="8"/>
      <name val="Arial"/>
      <family val="2"/>
    </font>
    <font>
      <i/>
      <sz val="10"/>
      <color theme="1"/>
      <name val="Arial"/>
      <family val="2"/>
    </font>
    <font>
      <b/>
      <sz val="10"/>
      <color rgb="FFFFFFFF"/>
      <name val="Arial"/>
      <family val="2"/>
    </font>
    <font>
      <sz val="12"/>
      <color rgb="FF002060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b/>
      <u/>
      <sz val="10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b/>
      <u/>
      <sz val="9"/>
      <name val="Arial"/>
      <family val="2"/>
    </font>
    <font>
      <b/>
      <sz val="9"/>
      <color indexed="62"/>
      <name val="Arial"/>
      <family val="2"/>
    </font>
    <font>
      <sz val="9"/>
      <name val="Arial"/>
      <family val="2"/>
    </font>
    <font>
      <sz val="9"/>
      <color indexed="62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9"/>
      <color indexed="9"/>
      <name val="Arial"/>
      <family val="2"/>
    </font>
    <font>
      <sz val="9"/>
      <color indexed="57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2"/>
      <color indexed="57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33339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96969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D15D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37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9CCFF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79">
    <xf numFmtId="0" fontId="0" fillId="0" borderId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0" borderId="0"/>
    <xf numFmtId="0" fontId="34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8" fillId="0" borderId="0"/>
    <xf numFmtId="0" fontId="34" fillId="0" borderId="0"/>
    <xf numFmtId="0" fontId="34" fillId="0" borderId="0"/>
    <xf numFmtId="0" fontId="8" fillId="0" borderId="0"/>
    <xf numFmtId="0" fontId="8" fillId="0" borderId="0"/>
    <xf numFmtId="0" fontId="8" fillId="0" borderId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5" fillId="0" borderId="0" applyFont="0" applyFill="0" applyBorder="0" applyAlignment="0" applyProtection="0"/>
    <xf numFmtId="175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6" fillId="0" borderId="0" applyNumberFormat="0" applyFill="0" applyBorder="0" applyAlignment="0" applyProtection="0"/>
  </cellStyleXfs>
  <cellXfs count="60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5" fillId="2" borderId="1" xfId="0" applyFont="1" applyFill="1" applyBorder="1" applyAlignment="1">
      <alignment horizontal="center" wrapText="1"/>
    </xf>
    <xf numFmtId="0" fontId="15" fillId="2" borderId="0" xfId="0" applyFont="1" applyFill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0" fontId="16" fillId="0" borderId="0" xfId="0" applyFont="1"/>
    <xf numFmtId="44" fontId="17" fillId="0" borderId="0" xfId="3" applyFont="1"/>
    <xf numFmtId="0" fontId="16" fillId="0" borderId="12" xfId="0" applyFont="1" applyBorder="1"/>
    <xf numFmtId="0" fontId="20" fillId="0" borderId="0" xfId="0" applyFont="1"/>
    <xf numFmtId="0" fontId="20" fillId="0" borderId="0" xfId="0" applyFont="1" applyAlignment="1">
      <alignment horizontal="center"/>
    </xf>
    <xf numFmtId="0" fontId="7" fillId="0" borderId="0" xfId="66" applyFont="1" applyAlignment="1">
      <alignment horizontal="right"/>
    </xf>
    <xf numFmtId="0" fontId="7" fillId="0" borderId="12" xfId="66" applyFont="1" applyBorder="1"/>
    <xf numFmtId="0" fontId="18" fillId="0" borderId="0" xfId="0" applyFont="1"/>
    <xf numFmtId="0" fontId="19" fillId="0" borderId="0" xfId="0" applyFont="1"/>
    <xf numFmtId="168" fontId="19" fillId="0" borderId="0" xfId="63" applyNumberFormat="1" applyFont="1"/>
    <xf numFmtId="9" fontId="18" fillId="0" borderId="0" xfId="63" applyFont="1"/>
    <xf numFmtId="44" fontId="19" fillId="0" borderId="0" xfId="3" applyFont="1"/>
    <xf numFmtId="9" fontId="19" fillId="0" borderId="0" xfId="63" applyFont="1"/>
    <xf numFmtId="10" fontId="19" fillId="0" borderId="0" xfId="63" applyNumberFormat="1" applyFont="1"/>
    <xf numFmtId="44" fontId="18" fillId="0" borderId="0" xfId="3" applyFont="1"/>
    <xf numFmtId="10" fontId="18" fillId="0" borderId="0" xfId="63" applyNumberFormat="1" applyFont="1"/>
    <xf numFmtId="168" fontId="18" fillId="0" borderId="0" xfId="63" applyNumberFormat="1" applyFont="1"/>
    <xf numFmtId="0" fontId="20" fillId="3" borderId="0" xfId="0" applyFont="1" applyFill="1" applyAlignment="1">
      <alignment horizontal="center" wrapText="1"/>
    </xf>
    <xf numFmtId="0" fontId="16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4" fillId="3" borderId="21" xfId="0" applyFont="1" applyFill="1" applyBorder="1" applyProtection="1">
      <protection locked="0"/>
    </xf>
    <xf numFmtId="0" fontId="26" fillId="0" borderId="0" xfId="0" applyFont="1"/>
    <xf numFmtId="0" fontId="24" fillId="3" borderId="22" xfId="0" applyFont="1" applyFill="1" applyBorder="1" applyProtection="1">
      <protection locked="0"/>
    </xf>
    <xf numFmtId="0" fontId="24" fillId="3" borderId="23" xfId="0" applyFont="1" applyFill="1" applyBorder="1" applyProtection="1">
      <protection locked="0"/>
    </xf>
    <xf numFmtId="0" fontId="2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4" fillId="3" borderId="0" xfId="0" applyFont="1" applyFill="1" applyProtection="1">
      <protection locked="0"/>
    </xf>
    <xf numFmtId="44" fontId="24" fillId="3" borderId="16" xfId="3" applyFont="1" applyFill="1" applyBorder="1" applyProtection="1">
      <protection locked="0"/>
    </xf>
    <xf numFmtId="44" fontId="28" fillId="3" borderId="0" xfId="3" applyFont="1" applyFill="1" applyProtection="1">
      <protection locked="0"/>
    </xf>
    <xf numFmtId="44" fontId="29" fillId="6" borderId="0" xfId="3" applyFont="1" applyFill="1"/>
    <xf numFmtId="10" fontId="10" fillId="6" borderId="14" xfId="63" applyNumberFormat="1" applyFont="1" applyFill="1" applyBorder="1"/>
    <xf numFmtId="44" fontId="10" fillId="6" borderId="0" xfId="3" applyFont="1" applyFill="1"/>
    <xf numFmtId="44" fontId="10" fillId="6" borderId="14" xfId="3" applyFont="1" applyFill="1" applyBorder="1"/>
    <xf numFmtId="44" fontId="17" fillId="6" borderId="14" xfId="3" applyFont="1" applyFill="1" applyBorder="1"/>
    <xf numFmtId="44" fontId="17" fillId="6" borderId="15" xfId="3" applyFont="1" applyFill="1" applyBorder="1"/>
    <xf numFmtId="44" fontId="17" fillId="6" borderId="0" xfId="3" applyFont="1" applyFill="1"/>
    <xf numFmtId="44" fontId="17" fillId="6" borderId="16" xfId="3" applyFont="1" applyFill="1" applyBorder="1"/>
    <xf numFmtId="44" fontId="10" fillId="6" borderId="18" xfId="3" applyFont="1" applyFill="1" applyBorder="1"/>
    <xf numFmtId="44" fontId="17" fillId="6" borderId="18" xfId="3" applyFont="1" applyFill="1" applyBorder="1"/>
    <xf numFmtId="44" fontId="17" fillId="6" borderId="19" xfId="3" applyFont="1" applyFill="1" applyBorder="1"/>
    <xf numFmtId="0" fontId="27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22" fillId="4" borderId="22" xfId="0" applyFont="1" applyFill="1" applyBorder="1" applyAlignment="1">
      <alignment horizontal="left"/>
    </xf>
    <xf numFmtId="0" fontId="16" fillId="6" borderId="15" xfId="0" applyFont="1" applyFill="1" applyBorder="1"/>
    <xf numFmtId="0" fontId="22" fillId="4" borderId="21" xfId="0" applyFont="1" applyFill="1" applyBorder="1" applyAlignment="1">
      <alignment horizontal="left"/>
    </xf>
    <xf numFmtId="0" fontId="16" fillId="6" borderId="16" xfId="0" applyFont="1" applyFill="1" applyBorder="1"/>
    <xf numFmtId="0" fontId="22" fillId="4" borderId="23" xfId="0" applyFont="1" applyFill="1" applyBorder="1" applyAlignment="1">
      <alignment horizontal="left"/>
    </xf>
    <xf numFmtId="0" fontId="16" fillId="6" borderId="19" xfId="0" applyFont="1" applyFill="1" applyBorder="1"/>
    <xf numFmtId="0" fontId="22" fillId="4" borderId="24" xfId="0" applyFont="1" applyFill="1" applyBorder="1" applyAlignment="1">
      <alignment horizontal="center" wrapText="1"/>
    </xf>
    <xf numFmtId="0" fontId="22" fillId="4" borderId="25" xfId="0" applyFont="1" applyFill="1" applyBorder="1" applyAlignment="1">
      <alignment horizontal="center" wrapText="1"/>
    </xf>
    <xf numFmtId="0" fontId="22" fillId="4" borderId="26" xfId="0" applyFont="1" applyFill="1" applyBorder="1" applyAlignment="1">
      <alignment horizontal="center" wrapText="1"/>
    </xf>
    <xf numFmtId="0" fontId="16" fillId="0" borderId="16" xfId="0" applyFont="1" applyBorder="1"/>
    <xf numFmtId="0" fontId="27" fillId="0" borderId="12" xfId="0" applyFont="1" applyBorder="1" applyAlignment="1">
      <alignment horizontal="center"/>
    </xf>
    <xf numFmtId="0" fontId="12" fillId="6" borderId="0" xfId="0" applyFont="1" applyFill="1"/>
    <xf numFmtId="0" fontId="12" fillId="6" borderId="16" xfId="0" applyFont="1" applyFill="1" applyBorder="1"/>
    <xf numFmtId="0" fontId="16" fillId="0" borderId="17" xfId="0" applyFont="1" applyBorder="1"/>
    <xf numFmtId="0" fontId="16" fillId="0" borderId="18" xfId="0" applyFont="1" applyBorder="1"/>
    <xf numFmtId="0" fontId="16" fillId="0" borderId="19" xfId="0" applyFont="1" applyBorder="1"/>
    <xf numFmtId="0" fontId="30" fillId="0" borderId="0" xfId="0" applyFont="1"/>
    <xf numFmtId="0" fontId="27" fillId="0" borderId="22" xfId="0" applyFont="1" applyBorder="1" applyAlignment="1">
      <alignment horizontal="right"/>
    </xf>
    <xf numFmtId="0" fontId="27" fillId="0" borderId="21" xfId="0" applyFont="1" applyBorder="1" applyAlignment="1">
      <alignment horizontal="right"/>
    </xf>
    <xf numFmtId="0" fontId="27" fillId="0" borderId="23" xfId="0" applyFont="1" applyBorder="1" applyAlignment="1">
      <alignment horizontal="right"/>
    </xf>
    <xf numFmtId="0" fontId="16" fillId="6" borderId="0" xfId="0" applyFont="1" applyFill="1"/>
    <xf numFmtId="164" fontId="10" fillId="6" borderId="0" xfId="1" applyNumberFormat="1" applyFont="1" applyFill="1"/>
    <xf numFmtId="10" fontId="28" fillId="0" borderId="0" xfId="63" applyNumberFormat="1" applyFont="1"/>
    <xf numFmtId="9" fontId="28" fillId="3" borderId="18" xfId="63" applyFont="1" applyFill="1" applyBorder="1" applyProtection="1">
      <protection locked="0"/>
    </xf>
    <xf numFmtId="0" fontId="32" fillId="0" borderId="0" xfId="0" applyFont="1"/>
    <xf numFmtId="164" fontId="31" fillId="6" borderId="0" xfId="1" applyNumberFormat="1" applyFont="1" applyFill="1"/>
    <xf numFmtId="44" fontId="16" fillId="0" borderId="0" xfId="3" applyFont="1"/>
    <xf numFmtId="0" fontId="16" fillId="0" borderId="13" xfId="0" applyFont="1" applyBorder="1"/>
    <xf numFmtId="0" fontId="16" fillId="0" borderId="14" xfId="0" applyFont="1" applyBorder="1"/>
    <xf numFmtId="0" fontId="16" fillId="0" borderId="15" xfId="0" applyFont="1" applyBorder="1"/>
    <xf numFmtId="0" fontId="32" fillId="0" borderId="0" xfId="0" applyFont="1" applyAlignment="1">
      <alignment horizontal="left" wrapText="1"/>
    </xf>
    <xf numFmtId="44" fontId="31" fillId="0" borderId="0" xfId="0" applyNumberFormat="1" applyFont="1"/>
    <xf numFmtId="44" fontId="16" fillId="0" borderId="0" xfId="0" applyNumberFormat="1" applyFont="1"/>
    <xf numFmtId="2" fontId="16" fillId="0" borderId="0" xfId="0" applyNumberFormat="1" applyFont="1"/>
    <xf numFmtId="44" fontId="31" fillId="0" borderId="18" xfId="0" applyNumberFormat="1" applyFont="1" applyBorder="1"/>
    <xf numFmtId="44" fontId="16" fillId="0" borderId="18" xfId="0" applyNumberFormat="1" applyFont="1" applyBorder="1"/>
    <xf numFmtId="44" fontId="16" fillId="0" borderId="16" xfId="0" applyNumberFormat="1" applyFont="1" applyBorder="1"/>
    <xf numFmtId="43" fontId="16" fillId="0" borderId="16" xfId="0" applyNumberFormat="1" applyFont="1" applyBorder="1"/>
    <xf numFmtId="44" fontId="27" fillId="6" borderId="27" xfId="3" applyFont="1" applyFill="1" applyBorder="1"/>
    <xf numFmtId="0" fontId="27" fillId="0" borderId="24" xfId="0" applyFont="1" applyBorder="1" applyAlignment="1">
      <alignment horizontal="center"/>
    </xf>
    <xf numFmtId="0" fontId="27" fillId="0" borderId="24" xfId="0" applyFont="1" applyBorder="1" applyAlignment="1">
      <alignment horizontal="center" vertical="center"/>
    </xf>
    <xf numFmtId="0" fontId="16" fillId="4" borderId="0" xfId="0" applyFont="1" applyFill="1"/>
    <xf numFmtId="0" fontId="27" fillId="6" borderId="22" xfId="0" applyFont="1" applyFill="1" applyBorder="1"/>
    <xf numFmtId="0" fontId="27" fillId="6" borderId="21" xfId="0" applyFont="1" applyFill="1" applyBorder="1"/>
    <xf numFmtId="0" fontId="27" fillId="6" borderId="23" xfId="0" applyFont="1" applyFill="1" applyBorder="1"/>
    <xf numFmtId="0" fontId="8" fillId="0" borderId="0" xfId="0" applyFont="1"/>
    <xf numFmtId="0" fontId="27" fillId="6" borderId="28" xfId="0" applyFont="1" applyFill="1" applyBorder="1" applyAlignment="1">
      <alignment horizontal="center" wrapText="1"/>
    </xf>
    <xf numFmtId="44" fontId="27" fillId="6" borderId="29" xfId="0" applyNumberFormat="1" applyFont="1" applyFill="1" applyBorder="1"/>
    <xf numFmtId="44" fontId="16" fillId="6" borderId="29" xfId="0" applyNumberFormat="1" applyFont="1" applyFill="1" applyBorder="1"/>
    <xf numFmtId="0" fontId="16" fillId="6" borderId="29" xfId="0" applyFont="1" applyFill="1" applyBorder="1"/>
    <xf numFmtId="44" fontId="27" fillId="6" borderId="29" xfId="3" applyFont="1" applyFill="1" applyBorder="1"/>
    <xf numFmtId="0" fontId="27" fillId="0" borderId="12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27" fillId="0" borderId="17" xfId="0" applyFont="1" applyBorder="1" applyAlignment="1">
      <alignment horizontal="left"/>
    </xf>
    <xf numFmtId="44" fontId="10" fillId="6" borderId="13" xfId="3" applyFont="1" applyFill="1" applyBorder="1" applyAlignment="1">
      <alignment horizontal="left"/>
    </xf>
    <xf numFmtId="44" fontId="10" fillId="6" borderId="12" xfId="3" applyFont="1" applyFill="1" applyBorder="1" applyAlignment="1">
      <alignment horizontal="left"/>
    </xf>
    <xf numFmtId="44" fontId="10" fillId="6" borderId="17" xfId="3" applyFont="1" applyFill="1" applyBorder="1" applyAlignment="1">
      <alignment horizontal="left"/>
    </xf>
    <xf numFmtId="0" fontId="27" fillId="6" borderId="22" xfId="0" applyFont="1" applyFill="1" applyBorder="1" applyAlignment="1">
      <alignment horizontal="left"/>
    </xf>
    <xf numFmtId="0" fontId="27" fillId="6" borderId="23" xfId="0" applyFont="1" applyFill="1" applyBorder="1" applyAlignment="1">
      <alignment horizontal="left"/>
    </xf>
    <xf numFmtId="0" fontId="33" fillId="0" borderId="0" xfId="0" applyFont="1"/>
    <xf numFmtId="0" fontId="35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0" fontId="27" fillId="6" borderId="21" xfId="0" applyFont="1" applyFill="1" applyBorder="1" applyAlignment="1">
      <alignment horizontal="left"/>
    </xf>
    <xf numFmtId="167" fontId="19" fillId="3" borderId="0" xfId="4" applyNumberFormat="1" applyFont="1" applyFill="1" applyAlignment="1">
      <alignment horizontal="center" vertical="center"/>
    </xf>
    <xf numFmtId="167" fontId="19" fillId="0" borderId="0" xfId="4" applyNumberFormat="1" applyFont="1" applyAlignment="1">
      <alignment horizontal="center" vertical="center"/>
    </xf>
    <xf numFmtId="167" fontId="19" fillId="0" borderId="14" xfId="4" applyNumberFormat="1" applyFont="1" applyBorder="1" applyAlignment="1">
      <alignment horizontal="center" vertical="center"/>
    </xf>
    <xf numFmtId="167" fontId="19" fillId="7" borderId="14" xfId="4" applyNumberFormat="1" applyFont="1" applyFill="1" applyBorder="1" applyAlignment="1">
      <alignment horizontal="center" vertical="center"/>
    </xf>
    <xf numFmtId="167" fontId="19" fillId="7" borderId="15" xfId="4" applyNumberFormat="1" applyFont="1" applyFill="1" applyBorder="1" applyAlignment="1">
      <alignment horizontal="center" vertical="center"/>
    </xf>
    <xf numFmtId="167" fontId="19" fillId="0" borderId="18" xfId="4" applyNumberFormat="1" applyFont="1" applyBorder="1" applyAlignment="1">
      <alignment horizontal="center" vertical="center"/>
    </xf>
    <xf numFmtId="167" fontId="19" fillId="7" borderId="18" xfId="4" applyNumberFormat="1" applyFont="1" applyFill="1" applyBorder="1" applyAlignment="1">
      <alignment horizontal="center" vertical="center"/>
    </xf>
    <xf numFmtId="167" fontId="19" fillId="7" borderId="19" xfId="4" applyNumberFormat="1" applyFont="1" applyFill="1" applyBorder="1" applyAlignment="1">
      <alignment horizontal="center" vertical="center"/>
    </xf>
    <xf numFmtId="167" fontId="19" fillId="7" borderId="0" xfId="4" applyNumberFormat="1" applyFont="1" applyFill="1" applyAlignment="1">
      <alignment horizontal="center" vertical="center"/>
    </xf>
    <xf numFmtId="167" fontId="19" fillId="7" borderId="16" xfId="4" applyNumberFormat="1" applyFont="1" applyFill="1" applyBorder="1" applyAlignment="1">
      <alignment horizontal="center" vertical="center"/>
    </xf>
    <xf numFmtId="0" fontId="8" fillId="0" borderId="12" xfId="0" applyFont="1" applyBorder="1"/>
    <xf numFmtId="0" fontId="8" fillId="0" borderId="0" xfId="0" applyFont="1" applyAlignment="1">
      <alignment horizontal="left"/>
    </xf>
    <xf numFmtId="0" fontId="8" fillId="0" borderId="17" xfId="0" applyFont="1" applyBorder="1"/>
    <xf numFmtId="166" fontId="8" fillId="0" borderId="0" xfId="0" applyNumberFormat="1" applyFont="1"/>
    <xf numFmtId="170" fontId="7" fillId="0" borderId="0" xfId="66" applyNumberFormat="1" applyFont="1"/>
    <xf numFmtId="169" fontId="7" fillId="0" borderId="18" xfId="66" applyNumberFormat="1" applyFont="1" applyBorder="1"/>
    <xf numFmtId="170" fontId="19" fillId="3" borderId="16" xfId="66" applyNumberFormat="1" applyFont="1" applyFill="1" applyBorder="1"/>
    <xf numFmtId="167" fontId="19" fillId="0" borderId="13" xfId="4" applyNumberFormat="1" applyFont="1" applyBorder="1" applyAlignment="1">
      <alignment horizontal="center" vertical="center"/>
    </xf>
    <xf numFmtId="167" fontId="19" fillId="0" borderId="17" xfId="4" applyNumberFormat="1" applyFont="1" applyBorder="1" applyAlignment="1">
      <alignment horizontal="center" vertical="center"/>
    </xf>
    <xf numFmtId="167" fontId="19" fillId="0" borderId="12" xfId="4" applyNumberFormat="1" applyFont="1" applyBorder="1" applyAlignment="1">
      <alignment horizontal="center" vertical="center"/>
    </xf>
    <xf numFmtId="169" fontId="7" fillId="0" borderId="20" xfId="66" applyNumberFormat="1" applyFont="1" applyBorder="1"/>
    <xf numFmtId="0" fontId="9" fillId="0" borderId="0" xfId="66" applyFont="1" applyAlignment="1">
      <alignment horizontal="left"/>
    </xf>
    <xf numFmtId="0" fontId="9" fillId="0" borderId="18" xfId="66" applyFont="1" applyBorder="1"/>
    <xf numFmtId="0" fontId="8" fillId="0" borderId="0" xfId="0" applyFont="1" applyAlignment="1">
      <alignment vertical="center"/>
    </xf>
    <xf numFmtId="0" fontId="11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5" fillId="0" borderId="14" xfId="0" applyFont="1" applyBorder="1" applyAlignment="1">
      <alignment vertical="center"/>
    </xf>
    <xf numFmtId="0" fontId="19" fillId="3" borderId="20" xfId="0" applyFont="1" applyFill="1" applyBorder="1" applyAlignment="1" applyProtection="1">
      <alignment vertical="center"/>
      <protection locked="0"/>
    </xf>
    <xf numFmtId="0" fontId="37" fillId="8" borderId="0" xfId="0" applyFont="1" applyFill="1"/>
    <xf numFmtId="0" fontId="36" fillId="9" borderId="20" xfId="0" applyFont="1" applyFill="1" applyBorder="1" applyAlignment="1">
      <alignment horizontal="left" vertical="center"/>
    </xf>
    <xf numFmtId="0" fontId="20" fillId="11" borderId="32" xfId="0" applyFont="1" applyFill="1" applyBorder="1" applyAlignment="1">
      <alignment vertical="top" wrapText="1"/>
    </xf>
    <xf numFmtId="0" fontId="23" fillId="12" borderId="20" xfId="0" applyFont="1" applyFill="1" applyBorder="1" applyAlignment="1">
      <alignment vertical="center"/>
    </xf>
    <xf numFmtId="0" fontId="23" fillId="12" borderId="20" xfId="0" applyFont="1" applyFill="1" applyBorder="1" applyAlignment="1">
      <alignment horizontal="left" vertical="center"/>
    </xf>
    <xf numFmtId="0" fontId="23" fillId="12" borderId="13" xfId="0" applyFont="1" applyFill="1" applyBorder="1" applyAlignment="1">
      <alignment vertical="center" wrapText="1"/>
    </xf>
    <xf numFmtId="0" fontId="23" fillId="12" borderId="20" xfId="0" applyFont="1" applyFill="1" applyBorder="1" applyAlignment="1">
      <alignment horizontal="center" vertical="center" wrapText="1"/>
    </xf>
    <xf numFmtId="0" fontId="20" fillId="11" borderId="33" xfId="0" applyFont="1" applyFill="1" applyBorder="1" applyAlignment="1">
      <alignment vertical="top" wrapText="1"/>
    </xf>
    <xf numFmtId="0" fontId="20" fillId="11" borderId="32" xfId="0" applyFont="1" applyFill="1" applyBorder="1" applyAlignment="1">
      <alignment vertical="top"/>
    </xf>
    <xf numFmtId="0" fontId="20" fillId="11" borderId="34" xfId="0" applyFont="1" applyFill="1" applyBorder="1" applyAlignment="1">
      <alignment vertical="top"/>
    </xf>
    <xf numFmtId="0" fontId="25" fillId="0" borderId="0" xfId="0" applyFont="1" applyAlignment="1">
      <alignment horizontal="right" vertical="center" wrapText="1"/>
    </xf>
    <xf numFmtId="0" fontId="25" fillId="0" borderId="21" xfId="0" applyFont="1" applyBorder="1" applyAlignment="1">
      <alignment horizontal="right" vertical="center" wrapText="1"/>
    </xf>
    <xf numFmtId="0" fontId="11" fillId="12" borderId="24" xfId="0" applyFont="1" applyFill="1" applyBorder="1" applyAlignment="1">
      <alignment vertical="center" wrapText="1"/>
    </xf>
    <xf numFmtId="0" fontId="40" fillId="8" borderId="0" xfId="0" applyFont="1" applyFill="1"/>
    <xf numFmtId="0" fontId="41" fillId="0" borderId="0" xfId="0" applyFont="1"/>
    <xf numFmtId="0" fontId="8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45" fillId="0" borderId="0" xfId="0" applyFont="1"/>
    <xf numFmtId="0" fontId="41" fillId="0" borderId="0" xfId="0" applyFont="1" applyAlignment="1">
      <alignment horizontal="left" vertical="center"/>
    </xf>
    <xf numFmtId="44" fontId="47" fillId="0" borderId="0" xfId="0" applyNumberFormat="1" applyFont="1" applyAlignment="1">
      <alignment vertical="center"/>
    </xf>
    <xf numFmtId="0" fontId="47" fillId="0" borderId="0" xfId="0" applyFont="1" applyAlignment="1">
      <alignment vertical="center"/>
    </xf>
    <xf numFmtId="166" fontId="19" fillId="0" borderId="14" xfId="63" applyNumberFormat="1" applyFont="1" applyBorder="1" applyAlignment="1">
      <alignment horizontal="right" vertical="center"/>
    </xf>
    <xf numFmtId="166" fontId="19" fillId="0" borderId="18" xfId="63" applyNumberFormat="1" applyFont="1" applyBorder="1" applyAlignment="1">
      <alignment horizontal="right" vertical="center"/>
    </xf>
    <xf numFmtId="166" fontId="19" fillId="0" borderId="0" xfId="63" applyNumberFormat="1" applyFont="1" applyAlignment="1">
      <alignment horizontal="right" vertical="center"/>
    </xf>
    <xf numFmtId="166" fontId="19" fillId="0" borderId="15" xfId="63" applyNumberFormat="1" applyFont="1" applyBorder="1" applyAlignment="1">
      <alignment horizontal="right" vertical="center"/>
    </xf>
    <xf numFmtId="166" fontId="19" fillId="0" borderId="19" xfId="63" applyNumberFormat="1" applyFont="1" applyBorder="1" applyAlignment="1">
      <alignment horizontal="right" vertical="center"/>
    </xf>
    <xf numFmtId="166" fontId="19" fillId="0" borderId="16" xfId="63" applyNumberFormat="1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9" fontId="8" fillId="0" borderId="0" xfId="0" applyNumberFormat="1" applyFont="1" applyAlignment="1">
      <alignment vertical="center"/>
    </xf>
    <xf numFmtId="167" fontId="19" fillId="3" borderId="0" xfId="4" applyNumberFormat="1" applyFont="1" applyFill="1" applyAlignment="1">
      <alignment vertical="center"/>
    </xf>
    <xf numFmtId="9" fontId="8" fillId="0" borderId="0" xfId="64" applyFont="1" applyAlignment="1">
      <alignment vertical="center"/>
    </xf>
    <xf numFmtId="166" fontId="19" fillId="3" borderId="0" xfId="64" applyNumberFormat="1" applyFont="1" applyFill="1" applyAlignment="1">
      <alignment vertical="center"/>
    </xf>
    <xf numFmtId="44" fontId="8" fillId="0" borderId="0" xfId="0" applyNumberFormat="1" applyFont="1" applyAlignment="1">
      <alignment vertical="center"/>
    </xf>
    <xf numFmtId="44" fontId="8" fillId="0" borderId="0" xfId="4" applyFont="1" applyAlignment="1">
      <alignment vertical="center"/>
    </xf>
    <xf numFmtId="166" fontId="19" fillId="3" borderId="0" xfId="0" applyNumberFormat="1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horizontal="right" vertical="center" wrapText="1"/>
    </xf>
    <xf numFmtId="0" fontId="9" fillId="7" borderId="20" xfId="0" applyFont="1" applyFill="1" applyBorder="1" applyAlignment="1">
      <alignment horizontal="right" vertical="center" wrapText="1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167" fontId="19" fillId="0" borderId="14" xfId="4" applyNumberFormat="1" applyFont="1" applyBorder="1" applyAlignment="1">
      <alignment vertical="center"/>
    </xf>
    <xf numFmtId="167" fontId="19" fillId="0" borderId="13" xfId="4" applyNumberFormat="1" applyFont="1" applyBorder="1" applyAlignment="1">
      <alignment vertical="center"/>
    </xf>
    <xf numFmtId="167" fontId="19" fillId="0" borderId="0" xfId="4" applyNumberFormat="1" applyFont="1" applyAlignment="1">
      <alignment vertical="center"/>
    </xf>
    <xf numFmtId="167" fontId="19" fillId="0" borderId="12" xfId="4" applyNumberFormat="1" applyFont="1" applyBorder="1" applyAlignment="1">
      <alignment vertical="center"/>
    </xf>
    <xf numFmtId="167" fontId="19" fillId="0" borderId="18" xfId="4" applyNumberFormat="1" applyFont="1" applyBorder="1" applyAlignment="1">
      <alignment vertical="center"/>
    </xf>
    <xf numFmtId="167" fontId="19" fillId="0" borderId="17" xfId="4" applyNumberFormat="1" applyFont="1" applyBorder="1" applyAlignment="1">
      <alignment vertical="center"/>
    </xf>
    <xf numFmtId="167" fontId="19" fillId="15" borderId="12" xfId="4" applyNumberFormat="1" applyFont="1" applyFill="1" applyBorder="1" applyAlignment="1">
      <alignment vertical="center"/>
    </xf>
    <xf numFmtId="167" fontId="8" fillId="0" borderId="0" xfId="0" applyNumberFormat="1" applyFont="1" applyAlignment="1">
      <alignment vertical="center"/>
    </xf>
    <xf numFmtId="166" fontId="8" fillId="0" borderId="0" xfId="63" applyNumberFormat="1" applyFont="1" applyAlignment="1">
      <alignment vertical="center"/>
    </xf>
    <xf numFmtId="0" fontId="8" fillId="15" borderId="0" xfId="0" applyFont="1" applyFill="1" applyAlignment="1">
      <alignment vertical="center"/>
    </xf>
    <xf numFmtId="0" fontId="20" fillId="7" borderId="20" xfId="0" applyFont="1" applyFill="1" applyBorder="1" applyAlignment="1">
      <alignment horizontal="right" vertical="center" wrapText="1"/>
    </xf>
    <xf numFmtId="0" fontId="20" fillId="0" borderId="20" xfId="0" applyFont="1" applyBorder="1" applyAlignment="1">
      <alignment horizontal="right" vertical="center" wrapText="1"/>
    </xf>
    <xf numFmtId="9" fontId="20" fillId="0" borderId="20" xfId="70" applyFont="1" applyBorder="1" applyAlignment="1">
      <alignment horizontal="right" vertical="center"/>
    </xf>
    <xf numFmtId="0" fontId="20" fillId="0" borderId="20" xfId="0" applyFont="1" applyBorder="1" applyAlignment="1">
      <alignment vertical="center" wrapText="1"/>
    </xf>
    <xf numFmtId="0" fontId="20" fillId="10" borderId="20" xfId="0" applyFont="1" applyFill="1" applyBorder="1" applyAlignment="1">
      <alignment horizontal="right" vertical="center" wrapText="1"/>
    </xf>
    <xf numFmtId="9" fontId="20" fillId="0" borderId="20" xfId="70" applyFont="1" applyBorder="1" applyAlignment="1">
      <alignment horizontal="right" vertical="center" wrapText="1"/>
    </xf>
    <xf numFmtId="0" fontId="8" fillId="0" borderId="20" xfId="0" applyFont="1" applyBorder="1" applyAlignment="1">
      <alignment vertical="center"/>
    </xf>
    <xf numFmtId="167" fontId="8" fillId="7" borderId="20" xfId="4" applyNumberFormat="1" applyFont="1" applyFill="1" applyBorder="1" applyAlignment="1">
      <alignment vertical="center"/>
    </xf>
    <xf numFmtId="44" fontId="8" fillId="0" borderId="20" xfId="4" applyFont="1" applyBorder="1" applyAlignment="1">
      <alignment vertical="center"/>
    </xf>
    <xf numFmtId="9" fontId="8" fillId="0" borderId="20" xfId="70" applyFont="1" applyBorder="1" applyAlignment="1">
      <alignment vertical="center"/>
    </xf>
    <xf numFmtId="44" fontId="8" fillId="10" borderId="20" xfId="4" applyFont="1" applyFill="1" applyBorder="1" applyAlignment="1">
      <alignment vertical="center"/>
    </xf>
    <xf numFmtId="9" fontId="8" fillId="10" borderId="20" xfId="0" applyNumberFormat="1" applyFont="1" applyFill="1" applyBorder="1" applyAlignment="1">
      <alignment vertical="center"/>
    </xf>
    <xf numFmtId="9" fontId="8" fillId="0" borderId="20" xfId="0" applyNumberFormat="1" applyFont="1" applyBorder="1" applyAlignment="1">
      <alignment vertical="center"/>
    </xf>
    <xf numFmtId="0" fontId="9" fillId="0" borderId="13" xfId="66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7" fillId="0" borderId="0" xfId="66" applyFont="1" applyAlignment="1">
      <alignment vertical="center"/>
    </xf>
    <xf numFmtId="0" fontId="7" fillId="0" borderId="0" xfId="66" applyFont="1" applyAlignment="1">
      <alignment horizontal="right" vertical="center"/>
    </xf>
    <xf numFmtId="170" fontId="19" fillId="3" borderId="16" xfId="66" applyNumberFormat="1" applyFont="1" applyFill="1" applyBorder="1" applyAlignment="1">
      <alignment vertical="center"/>
    </xf>
    <xf numFmtId="0" fontId="52" fillId="0" borderId="0" xfId="0" applyFont="1" applyAlignment="1">
      <alignment vertical="center"/>
    </xf>
    <xf numFmtId="9" fontId="18" fillId="0" borderId="0" xfId="63" applyFont="1" applyAlignment="1">
      <alignment horizontal="right"/>
    </xf>
    <xf numFmtId="9" fontId="18" fillId="0" borderId="0" xfId="63" applyFont="1" applyAlignment="1">
      <alignment vertical="center"/>
    </xf>
    <xf numFmtId="0" fontId="20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right" vertical="top" wrapText="1"/>
    </xf>
    <xf numFmtId="0" fontId="53" fillId="0" borderId="0" xfId="0" applyFont="1" applyAlignment="1">
      <alignment vertical="top"/>
    </xf>
    <xf numFmtId="0" fontId="8" fillId="0" borderId="20" xfId="0" applyFont="1" applyBorder="1"/>
    <xf numFmtId="167" fontId="8" fillId="7" borderId="20" xfId="4" applyNumberFormat="1" applyFont="1" applyFill="1" applyBorder="1"/>
    <xf numFmtId="44" fontId="8" fillId="0" borderId="20" xfId="4" applyFont="1" applyBorder="1"/>
    <xf numFmtId="9" fontId="8" fillId="0" borderId="20" xfId="70" applyFont="1" applyBorder="1"/>
    <xf numFmtId="9" fontId="8" fillId="10" borderId="20" xfId="0" applyNumberFormat="1" applyFont="1" applyFill="1" applyBorder="1"/>
    <xf numFmtId="44" fontId="8" fillId="10" borderId="20" xfId="4" applyFont="1" applyFill="1" applyBorder="1"/>
    <xf numFmtId="0" fontId="20" fillId="0" borderId="28" xfId="0" applyFont="1" applyBorder="1" applyAlignment="1">
      <alignment horizontal="left" vertical="center"/>
    </xf>
    <xf numFmtId="43" fontId="44" fillId="0" borderId="30" xfId="1" applyFont="1" applyBorder="1" applyAlignment="1">
      <alignment vertical="center"/>
    </xf>
    <xf numFmtId="0" fontId="54" fillId="0" borderId="0" xfId="0" applyFont="1" applyAlignment="1">
      <alignment horizontal="left" vertical="center"/>
    </xf>
    <xf numFmtId="43" fontId="55" fillId="0" borderId="28" xfId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1" fillId="0" borderId="7" xfId="0" applyFont="1" applyBorder="1" applyAlignment="1">
      <alignment vertical="center"/>
    </xf>
    <xf numFmtId="0" fontId="41" fillId="0" borderId="8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4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7" borderId="36" xfId="0" applyFont="1" applyFill="1" applyBorder="1" applyAlignment="1">
      <alignment vertical="center"/>
    </xf>
    <xf numFmtId="0" fontId="20" fillId="0" borderId="37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38" xfId="0" applyFont="1" applyBorder="1" applyAlignment="1">
      <alignment horizontal="left" vertical="center"/>
    </xf>
    <xf numFmtId="172" fontId="0" fillId="0" borderId="4" xfId="0" applyNumberFormat="1" applyBorder="1"/>
    <xf numFmtId="0" fontId="41" fillId="0" borderId="5" xfId="0" applyFont="1" applyBorder="1" applyAlignment="1">
      <alignment vertical="center"/>
    </xf>
    <xf numFmtId="0" fontId="56" fillId="7" borderId="1" xfId="0" applyFont="1" applyFill="1" applyBorder="1" applyAlignment="1">
      <alignment vertical="center"/>
    </xf>
    <xf numFmtId="0" fontId="46" fillId="0" borderId="1" xfId="0" applyFont="1" applyBorder="1" applyAlignment="1">
      <alignment horizontal="left" vertical="center"/>
    </xf>
    <xf numFmtId="0" fontId="20" fillId="0" borderId="36" xfId="0" applyFont="1" applyBorder="1" applyAlignment="1">
      <alignment vertical="center"/>
    </xf>
    <xf numFmtId="172" fontId="20" fillId="0" borderId="0" xfId="0" applyNumberFormat="1" applyFont="1" applyAlignment="1">
      <alignment horizontal="right" vertical="center"/>
    </xf>
    <xf numFmtId="0" fontId="58" fillId="0" borderId="1" xfId="0" applyFont="1" applyBorder="1" applyAlignment="1">
      <alignment horizontal="left" vertical="center" wrapText="1"/>
    </xf>
    <xf numFmtId="0" fontId="59" fillId="0" borderId="0" xfId="0" applyFont="1"/>
    <xf numFmtId="44" fontId="59" fillId="0" borderId="0" xfId="0" applyNumberFormat="1" applyFont="1" applyAlignment="1">
      <alignment vertical="center"/>
    </xf>
    <xf numFmtId="172" fontId="58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/>
    <xf numFmtId="9" fontId="8" fillId="10" borderId="0" xfId="0" applyNumberFormat="1" applyFont="1" applyFill="1" applyAlignment="1">
      <alignment vertical="center"/>
    </xf>
    <xf numFmtId="167" fontId="19" fillId="10" borderId="0" xfId="4" applyNumberFormat="1" applyFont="1" applyFill="1" applyAlignment="1">
      <alignment horizontal="center" vertical="center"/>
    </xf>
    <xf numFmtId="167" fontId="8" fillId="0" borderId="25" xfId="0" applyNumberFormat="1" applyFont="1" applyBorder="1" applyAlignment="1">
      <alignment vertical="center"/>
    </xf>
    <xf numFmtId="164" fontId="8" fillId="0" borderId="25" xfId="1" applyNumberFormat="1" applyFont="1" applyBorder="1" applyAlignment="1">
      <alignment vertical="center"/>
    </xf>
    <xf numFmtId="166" fontId="19" fillId="10" borderId="0" xfId="0" applyNumberFormat="1" applyFont="1" applyFill="1" applyAlignment="1">
      <alignment vertical="center"/>
    </xf>
    <xf numFmtId="10" fontId="19" fillId="3" borderId="0" xfId="64" applyNumberFormat="1" applyFont="1" applyFill="1" applyAlignment="1">
      <alignment vertical="center"/>
    </xf>
    <xf numFmtId="10" fontId="19" fillId="3" borderId="0" xfId="0" applyNumberFormat="1" applyFont="1" applyFill="1" applyAlignment="1">
      <alignment vertical="center"/>
    </xf>
    <xf numFmtId="174" fontId="8" fillId="0" borderId="0" xfId="0" applyNumberFormat="1" applyFont="1" applyAlignment="1">
      <alignment vertical="center"/>
    </xf>
    <xf numFmtId="167" fontId="19" fillId="10" borderId="12" xfId="4" applyNumberFormat="1" applyFont="1" applyFill="1" applyBorder="1" applyAlignment="1">
      <alignment horizontal="center" vertical="center"/>
    </xf>
    <xf numFmtId="167" fontId="19" fillId="10" borderId="17" xfId="4" applyNumberFormat="1" applyFont="1" applyFill="1" applyBorder="1" applyAlignment="1">
      <alignment horizontal="center" vertical="center"/>
    </xf>
    <xf numFmtId="167" fontId="19" fillId="10" borderId="13" xfId="4" applyNumberFormat="1" applyFont="1" applyFill="1" applyBorder="1" applyAlignment="1">
      <alignment vertical="center"/>
    </xf>
    <xf numFmtId="167" fontId="19" fillId="10" borderId="12" xfId="4" applyNumberFormat="1" applyFont="1" applyFill="1" applyBorder="1" applyAlignment="1">
      <alignment vertical="center"/>
    </xf>
    <xf numFmtId="167" fontId="19" fillId="10" borderId="17" xfId="4" applyNumberFormat="1" applyFont="1" applyFill="1" applyBorder="1" applyAlignment="1">
      <alignment vertical="center"/>
    </xf>
    <xf numFmtId="167" fontId="19" fillId="15" borderId="13" xfId="4" applyNumberFormat="1" applyFont="1" applyFill="1" applyBorder="1" applyAlignment="1">
      <alignment vertical="center"/>
    </xf>
    <xf numFmtId="167" fontId="19" fillId="15" borderId="17" xfId="4" applyNumberFormat="1" applyFont="1" applyFill="1" applyBorder="1" applyAlignment="1">
      <alignment vertical="center"/>
    </xf>
    <xf numFmtId="166" fontId="8" fillId="0" borderId="0" xfId="63" applyNumberFormat="1" applyFont="1"/>
    <xf numFmtId="167" fontId="19" fillId="0" borderId="12" xfId="4" applyNumberFormat="1" applyFont="1" applyFill="1" applyBorder="1" applyAlignment="1">
      <alignment horizontal="center" vertical="center"/>
    </xf>
    <xf numFmtId="167" fontId="19" fillId="0" borderId="17" xfId="4" applyNumberFormat="1" applyFont="1" applyFill="1" applyBorder="1" applyAlignment="1">
      <alignment horizontal="center" vertical="center"/>
    </xf>
    <xf numFmtId="167" fontId="19" fillId="0" borderId="13" xfId="4" applyNumberFormat="1" applyFont="1" applyFill="1" applyBorder="1" applyAlignment="1">
      <alignment vertical="center"/>
    </xf>
    <xf numFmtId="167" fontId="19" fillId="0" borderId="12" xfId="4" applyNumberFormat="1" applyFont="1" applyFill="1" applyBorder="1" applyAlignment="1">
      <alignment vertical="center"/>
    </xf>
    <xf numFmtId="167" fontId="19" fillId="0" borderId="17" xfId="4" applyNumberFormat="1" applyFont="1" applyFill="1" applyBorder="1" applyAlignment="1">
      <alignment vertical="center"/>
    </xf>
    <xf numFmtId="9" fontId="8" fillId="0" borderId="0" xfId="63" applyFont="1" applyAlignment="1">
      <alignment vertical="center"/>
    </xf>
    <xf numFmtId="173" fontId="8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57" fillId="16" borderId="28" xfId="0" applyFont="1" applyFill="1" applyBorder="1" applyAlignment="1">
      <alignment horizontal="center" vertical="center" wrapText="1"/>
    </xf>
    <xf numFmtId="167" fontId="19" fillId="0" borderId="0" xfId="4" applyNumberFormat="1" applyFont="1" applyFill="1" applyAlignment="1">
      <alignment horizontal="center" vertical="center"/>
    </xf>
    <xf numFmtId="167" fontId="19" fillId="0" borderId="0" xfId="4" applyNumberFormat="1" applyFont="1" applyFill="1" applyAlignment="1">
      <alignment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61" fillId="19" borderId="20" xfId="0" applyNumberFormat="1" applyFont="1" applyFill="1" applyBorder="1" applyAlignment="1">
      <alignment horizontal="center" vertical="center" wrapText="1"/>
    </xf>
    <xf numFmtId="5" fontId="1" fillId="0" borderId="20" xfId="0" applyNumberFormat="1" applyFont="1" applyBorder="1" applyAlignment="1">
      <alignment horizontal="center" vertical="center"/>
    </xf>
    <xf numFmtId="0" fontId="1" fillId="20" borderId="42" xfId="0" applyFont="1" applyFill="1" applyBorder="1" applyAlignment="1">
      <alignment horizontal="center" vertical="center" wrapText="1"/>
    </xf>
    <xf numFmtId="0" fontId="1" fillId="20" borderId="20" xfId="0" applyFont="1" applyFill="1" applyBorder="1" applyAlignment="1">
      <alignment horizontal="center" vertical="center" wrapText="1"/>
    </xf>
    <xf numFmtId="5" fontId="1" fillId="20" borderId="20" xfId="0" applyNumberFormat="1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49" fontId="61" fillId="19" borderId="44" xfId="0" applyNumberFormat="1" applyFont="1" applyFill="1" applyBorder="1" applyAlignment="1">
      <alignment horizontal="center" vertical="center" wrapText="1"/>
    </xf>
    <xf numFmtId="5" fontId="1" fillId="0" borderId="44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62" fillId="0" borderId="47" xfId="0" applyFont="1" applyBorder="1" applyAlignment="1">
      <alignment horizontal="center" vertical="center" wrapText="1"/>
    </xf>
    <xf numFmtId="5" fontId="1" fillId="0" borderId="47" xfId="0" applyNumberFormat="1" applyFont="1" applyBorder="1" applyAlignment="1">
      <alignment horizontal="center" vertical="center"/>
    </xf>
    <xf numFmtId="0" fontId="1" fillId="10" borderId="47" xfId="0" applyFont="1" applyFill="1" applyBorder="1" applyAlignment="1">
      <alignment horizontal="center" vertical="center" wrapText="1"/>
    </xf>
    <xf numFmtId="0" fontId="60" fillId="21" borderId="43" xfId="0" applyFont="1" applyFill="1" applyBorder="1" applyAlignment="1">
      <alignment horizontal="center" vertical="center" wrapText="1"/>
    </xf>
    <xf numFmtId="0" fontId="60" fillId="21" borderId="44" xfId="0" applyFont="1" applyFill="1" applyBorder="1" applyAlignment="1">
      <alignment horizontal="center" vertical="center" wrapText="1"/>
    </xf>
    <xf numFmtId="44" fontId="60" fillId="21" borderId="44" xfId="0" applyNumberFormat="1" applyFont="1" applyFill="1" applyBorder="1" applyAlignment="1">
      <alignment horizontal="center" vertical="center" wrapText="1"/>
    </xf>
    <xf numFmtId="5" fontId="1" fillId="0" borderId="39" xfId="0" applyNumberFormat="1" applyFont="1" applyBorder="1" applyAlignment="1">
      <alignment horizontal="center" vertical="center"/>
    </xf>
    <xf numFmtId="5" fontId="1" fillId="0" borderId="40" xfId="0" applyNumberFormat="1" applyFont="1" applyBorder="1" applyAlignment="1">
      <alignment horizontal="center" vertical="center"/>
    </xf>
    <xf numFmtId="5" fontId="1" fillId="0" borderId="24" xfId="0" applyNumberFormat="1" applyFont="1" applyBorder="1" applyAlignment="1">
      <alignment horizontal="center" vertical="center"/>
    </xf>
    <xf numFmtId="167" fontId="19" fillId="0" borderId="0" xfId="4" applyNumberFormat="1" applyFont="1" applyBorder="1" applyAlignment="1">
      <alignment horizontal="center" vertical="center"/>
    </xf>
    <xf numFmtId="167" fontId="19" fillId="0" borderId="6" xfId="4" applyNumberFormat="1" applyFont="1" applyBorder="1" applyAlignment="1">
      <alignment horizontal="center" vertical="center"/>
    </xf>
    <xf numFmtId="167" fontId="19" fillId="0" borderId="7" xfId="4" applyNumberFormat="1" applyFont="1" applyBorder="1" applyAlignment="1">
      <alignment horizontal="center" vertical="center"/>
    </xf>
    <xf numFmtId="167" fontId="19" fillId="7" borderId="8" xfId="4" applyNumberFormat="1" applyFont="1" applyFill="1" applyBorder="1" applyAlignment="1">
      <alignment horizontal="center" vertical="center"/>
    </xf>
    <xf numFmtId="167" fontId="19" fillId="0" borderId="1" xfId="4" applyNumberFormat="1" applyFont="1" applyBorder="1" applyAlignment="1">
      <alignment horizontal="center" vertical="center"/>
    </xf>
    <xf numFmtId="167" fontId="19" fillId="7" borderId="2" xfId="4" applyNumberFormat="1" applyFont="1" applyFill="1" applyBorder="1" applyAlignment="1">
      <alignment horizontal="center" vertical="center"/>
    </xf>
    <xf numFmtId="167" fontId="19" fillId="0" borderId="3" xfId="4" applyNumberFormat="1" applyFont="1" applyBorder="1" applyAlignment="1">
      <alignment horizontal="center" vertical="center"/>
    </xf>
    <xf numFmtId="167" fontId="19" fillId="0" borderId="4" xfId="4" applyNumberFormat="1" applyFont="1" applyBorder="1" applyAlignment="1">
      <alignment horizontal="center" vertical="center"/>
    </xf>
    <xf numFmtId="167" fontId="19" fillId="7" borderId="5" xfId="4" applyNumberFormat="1" applyFont="1" applyFill="1" applyBorder="1" applyAlignment="1">
      <alignment horizontal="center" vertical="center"/>
    </xf>
    <xf numFmtId="172" fontId="41" fillId="0" borderId="0" xfId="0" applyNumberFormat="1" applyFont="1" applyAlignment="1">
      <alignment vertical="center"/>
    </xf>
    <xf numFmtId="10" fontId="19" fillId="10" borderId="0" xfId="64" applyNumberFormat="1" applyFont="1" applyFill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10" fontId="19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4" fontId="19" fillId="3" borderId="20" xfId="0" applyNumberFormat="1" applyFont="1" applyFill="1" applyBorder="1" applyAlignment="1" applyProtection="1">
      <alignment horizontal="left" vertical="center"/>
      <protection locked="0"/>
    </xf>
    <xf numFmtId="0" fontId="23" fillId="13" borderId="12" xfId="0" applyFont="1" applyFill="1" applyBorder="1" applyAlignment="1">
      <alignment horizontal="left" vertical="center"/>
    </xf>
    <xf numFmtId="0" fontId="23" fillId="13" borderId="0" xfId="0" applyFont="1" applyFill="1" applyAlignment="1">
      <alignment horizontal="left" vertical="center"/>
    </xf>
    <xf numFmtId="171" fontId="39" fillId="9" borderId="28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38" fillId="8" borderId="0" xfId="0" applyFont="1" applyFill="1" applyAlignment="1">
      <alignment vertical="center"/>
    </xf>
    <xf numFmtId="171" fontId="39" fillId="9" borderId="48" xfId="0" applyNumberFormat="1" applyFont="1" applyFill="1" applyBorder="1" applyAlignment="1">
      <alignment horizontal="center" vertical="center" wrapText="1"/>
    </xf>
    <xf numFmtId="0" fontId="7" fillId="0" borderId="0" xfId="66" applyFont="1" applyAlignment="1">
      <alignment horizontal="left" vertical="center"/>
    </xf>
    <xf numFmtId="170" fontId="7" fillId="0" borderId="16" xfId="66" applyNumberFormat="1" applyFont="1" applyBorder="1" applyAlignment="1">
      <alignment vertical="center"/>
    </xf>
    <xf numFmtId="0" fontId="7" fillId="0" borderId="0" xfId="66" applyFont="1" applyAlignment="1">
      <alignment horizontal="left"/>
    </xf>
    <xf numFmtId="170" fontId="19" fillId="0" borderId="19" xfId="66" applyNumberFormat="1" applyFont="1" applyBorder="1"/>
    <xf numFmtId="170" fontId="19" fillId="0" borderId="16" xfId="66" applyNumberFormat="1" applyFont="1" applyBorder="1" applyAlignment="1">
      <alignment vertical="center"/>
    </xf>
    <xf numFmtId="170" fontId="19" fillId="0" borderId="16" xfId="66" applyNumberFormat="1" applyFont="1" applyBorder="1"/>
    <xf numFmtId="170" fontId="7" fillId="0" borderId="20" xfId="66" applyNumberFormat="1" applyFont="1" applyBorder="1"/>
    <xf numFmtId="167" fontId="8" fillId="0" borderId="20" xfId="4" applyNumberFormat="1" applyFont="1" applyBorder="1" applyAlignment="1">
      <alignment vertical="center"/>
    </xf>
    <xf numFmtId="44" fontId="8" fillId="0" borderId="0" xfId="0" applyNumberFormat="1" applyFont="1"/>
    <xf numFmtId="9" fontId="20" fillId="0" borderId="28" xfId="0" applyNumberFormat="1" applyFont="1" applyBorder="1" applyAlignment="1">
      <alignment horizontal="left" vertical="center"/>
    </xf>
    <xf numFmtId="0" fontId="64" fillId="0" borderId="0" xfId="0" applyFont="1" applyAlignment="1">
      <alignment vertical="center"/>
    </xf>
    <xf numFmtId="0" fontId="20" fillId="7" borderId="0" xfId="0" applyFont="1" applyFill="1"/>
    <xf numFmtId="0" fontId="8" fillId="7" borderId="0" xfId="0" applyFont="1" applyFill="1"/>
    <xf numFmtId="0" fontId="63" fillId="0" borderId="0" xfId="0" applyFont="1" applyAlignment="1">
      <alignment vertical="center"/>
    </xf>
    <xf numFmtId="0" fontId="63" fillId="0" borderId="0" xfId="0" applyFont="1"/>
    <xf numFmtId="0" fontId="23" fillId="12" borderId="20" xfId="0" applyFont="1" applyFill="1" applyBorder="1" applyAlignment="1">
      <alignment horizontal="center" vertical="center"/>
    </xf>
    <xf numFmtId="171" fontId="39" fillId="9" borderId="49" xfId="0" applyNumberFormat="1" applyFont="1" applyFill="1" applyBorder="1" applyAlignment="1">
      <alignment horizontal="center" vertical="center" wrapText="1"/>
    </xf>
    <xf numFmtId="171" fontId="39" fillId="9" borderId="50" xfId="0" applyNumberFormat="1" applyFont="1" applyFill="1" applyBorder="1" applyAlignment="1">
      <alignment horizontal="center" vertical="center" wrapText="1"/>
    </xf>
    <xf numFmtId="177" fontId="8" fillId="0" borderId="41" xfId="0" applyNumberFormat="1" applyFont="1" applyBorder="1" applyAlignment="1">
      <alignment horizontal="right" vertical="center"/>
    </xf>
    <xf numFmtId="177" fontId="20" fillId="0" borderId="0" xfId="0" applyNumberFormat="1" applyFont="1" applyAlignment="1">
      <alignment horizontal="right" vertical="center"/>
    </xf>
    <xf numFmtId="177" fontId="20" fillId="0" borderId="30" xfId="0" applyNumberFormat="1" applyFont="1" applyBorder="1" applyAlignment="1">
      <alignment horizontal="right" vertical="center"/>
    </xf>
    <xf numFmtId="177" fontId="0" fillId="0" borderId="30" xfId="0" applyNumberFormat="1" applyBorder="1"/>
    <xf numFmtId="177" fontId="8" fillId="0" borderId="30" xfId="0" applyNumberFormat="1" applyFont="1" applyBorder="1" applyAlignment="1">
      <alignment horizontal="right" vertical="center"/>
    </xf>
    <xf numFmtId="177" fontId="43" fillId="0" borderId="0" xfId="0" applyNumberFormat="1" applyFont="1" applyAlignment="1">
      <alignment horizontal="left" vertical="center"/>
    </xf>
    <xf numFmtId="177" fontId="20" fillId="0" borderId="31" xfId="0" applyNumberFormat="1" applyFont="1" applyBorder="1" applyAlignment="1">
      <alignment horizontal="left" vertical="center"/>
    </xf>
    <xf numFmtId="177" fontId="0" fillId="0" borderId="31" xfId="0" applyNumberFormat="1" applyBorder="1"/>
    <xf numFmtId="177" fontId="20" fillId="0" borderId="31" xfId="0" applyNumberFormat="1" applyFont="1" applyBorder="1" applyAlignment="1">
      <alignment vertical="center"/>
    </xf>
    <xf numFmtId="177" fontId="7" fillId="7" borderId="30" xfId="0" applyNumberFormat="1" applyFont="1" applyFill="1" applyBorder="1" applyAlignment="1">
      <alignment vertical="center"/>
    </xf>
    <xf numFmtId="177" fontId="20" fillId="0" borderId="30" xfId="0" applyNumberFormat="1" applyFont="1" applyBorder="1" applyAlignment="1">
      <alignment horizontal="left" vertical="center"/>
    </xf>
    <xf numFmtId="177" fontId="7" fillId="0" borderId="30" xfId="0" applyNumberFormat="1" applyFont="1" applyBorder="1" applyAlignment="1">
      <alignment vertical="center"/>
    </xf>
    <xf numFmtId="177" fontId="9" fillId="0" borderId="28" xfId="0" applyNumberFormat="1" applyFont="1" applyBorder="1" applyAlignment="1">
      <alignment vertical="center"/>
    </xf>
    <xf numFmtId="177" fontId="20" fillId="0" borderId="28" xfId="0" applyNumberFormat="1" applyFont="1" applyBorder="1" applyAlignment="1">
      <alignment horizontal="left" vertical="center"/>
    </xf>
    <xf numFmtId="177" fontId="7" fillId="0" borderId="28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43" fontId="44" fillId="0" borderId="0" xfId="1" applyFont="1" applyBorder="1" applyAlignment="1">
      <alignment vertical="center"/>
    </xf>
    <xf numFmtId="177" fontId="0" fillId="0" borderId="0" xfId="0" applyNumberFormat="1"/>
    <xf numFmtId="177" fontId="0" fillId="0" borderId="29" xfId="0" applyNumberFormat="1" applyBorder="1"/>
    <xf numFmtId="177" fontId="20" fillId="0" borderId="41" xfId="0" applyNumberFormat="1" applyFont="1" applyBorder="1" applyAlignment="1">
      <alignment horizontal="right" vertical="center"/>
    </xf>
    <xf numFmtId="177" fontId="20" fillId="0" borderId="29" xfId="0" applyNumberFormat="1" applyFont="1" applyBorder="1" applyAlignment="1">
      <alignment horizontal="right" vertical="center"/>
    </xf>
    <xf numFmtId="177" fontId="0" fillId="0" borderId="28" xfId="0" applyNumberFormat="1" applyBorder="1"/>
    <xf numFmtId="177" fontId="42" fillId="18" borderId="35" xfId="0" applyNumberFormat="1" applyFont="1" applyFill="1" applyBorder="1" applyAlignment="1">
      <alignment horizontal="right" vertical="center"/>
    </xf>
    <xf numFmtId="177" fontId="20" fillId="17" borderId="35" xfId="0" applyNumberFormat="1" applyFont="1" applyFill="1" applyBorder="1" applyAlignment="1">
      <alignment horizontal="right" vertical="center"/>
    </xf>
    <xf numFmtId="177" fontId="20" fillId="16" borderId="35" xfId="0" applyNumberFormat="1" applyFont="1" applyFill="1" applyBorder="1" applyAlignment="1">
      <alignment horizontal="right" vertical="center"/>
    </xf>
    <xf numFmtId="177" fontId="41" fillId="0" borderId="0" xfId="0" applyNumberFormat="1" applyFont="1" applyAlignment="1">
      <alignment vertical="center"/>
    </xf>
    <xf numFmtId="44" fontId="4" fillId="0" borderId="0" xfId="0" applyNumberFormat="1" applyFont="1" applyAlignment="1">
      <alignment vertical="center"/>
    </xf>
    <xf numFmtId="0" fontId="46" fillId="0" borderId="0" xfId="0" applyFont="1" applyAlignment="1">
      <alignment vertical="center"/>
    </xf>
    <xf numFmtId="0" fontId="18" fillId="20" borderId="0" xfId="0" applyFont="1" applyFill="1"/>
    <xf numFmtId="0" fontId="37" fillId="20" borderId="0" xfId="0" applyFont="1" applyFill="1"/>
    <xf numFmtId="0" fontId="8" fillId="20" borderId="0" xfId="0" applyFont="1" applyFill="1"/>
    <xf numFmtId="0" fontId="8" fillId="20" borderId="0" xfId="0" applyFont="1" applyFill="1" applyAlignment="1">
      <alignment vertical="center"/>
    </xf>
    <xf numFmtId="0" fontId="18" fillId="20" borderId="0" xfId="0" applyFont="1" applyFill="1" applyAlignment="1">
      <alignment vertical="center"/>
    </xf>
    <xf numFmtId="0" fontId="23" fillId="20" borderId="0" xfId="0" applyFont="1" applyFill="1" applyAlignment="1">
      <alignment horizontal="center" vertical="center" wrapText="1"/>
    </xf>
    <xf numFmtId="0" fontId="25" fillId="20" borderId="0" xfId="0" applyFont="1" applyFill="1" applyAlignment="1">
      <alignment horizontal="right" vertical="center" wrapText="1"/>
    </xf>
    <xf numFmtId="171" fontId="39" fillId="20" borderId="0" xfId="0" applyNumberFormat="1" applyFont="1" applyFill="1" applyAlignment="1">
      <alignment horizontal="center" vertical="center" wrapText="1"/>
    </xf>
    <xf numFmtId="0" fontId="65" fillId="0" borderId="0" xfId="0" applyFont="1"/>
    <xf numFmtId="0" fontId="66" fillId="0" borderId="0" xfId="78"/>
    <xf numFmtId="0" fontId="67" fillId="0" borderId="0" xfId="0" applyFont="1"/>
    <xf numFmtId="0" fontId="68" fillId="0" borderId="12" xfId="0" applyFont="1" applyBorder="1" applyAlignment="1">
      <alignment vertical="center"/>
    </xf>
    <xf numFmtId="0" fontId="69" fillId="7" borderId="28" xfId="0" applyFont="1" applyFill="1" applyBorder="1" applyAlignment="1" applyProtection="1">
      <alignment horizontal="center" vertical="center" wrapText="1"/>
      <protection locked="0"/>
    </xf>
    <xf numFmtId="0" fontId="69" fillId="7" borderId="49" xfId="0" applyFont="1" applyFill="1" applyBorder="1" applyAlignment="1" applyProtection="1">
      <alignment horizontal="center" vertical="center" wrapText="1"/>
      <protection locked="0"/>
    </xf>
    <xf numFmtId="0" fontId="69" fillId="20" borderId="0" xfId="0" applyFont="1" applyFill="1" applyAlignment="1" applyProtection="1">
      <alignment horizontal="center" vertical="center" wrapText="1"/>
      <protection locked="0"/>
    </xf>
    <xf numFmtId="44" fontId="67" fillId="7" borderId="21" xfId="3" applyFont="1" applyFill="1" applyBorder="1" applyAlignment="1">
      <alignment horizontal="right" vertical="center"/>
    </xf>
    <xf numFmtId="0" fontId="67" fillId="7" borderId="21" xfId="0" applyFont="1" applyFill="1" applyBorder="1" applyAlignment="1">
      <alignment horizontal="center" vertical="center"/>
    </xf>
    <xf numFmtId="0" fontId="70" fillId="0" borderId="12" xfId="0" applyFont="1" applyBorder="1" applyAlignment="1">
      <alignment vertical="center"/>
    </xf>
    <xf numFmtId="0" fontId="71" fillId="3" borderId="28" xfId="0" applyFont="1" applyFill="1" applyBorder="1" applyAlignment="1" applyProtection="1">
      <alignment horizontal="center" vertical="center" wrapText="1"/>
      <protection locked="0"/>
    </xf>
    <xf numFmtId="0" fontId="71" fillId="3" borderId="49" xfId="0" applyFont="1" applyFill="1" applyBorder="1" applyAlignment="1" applyProtection="1">
      <alignment horizontal="center" vertical="center" wrapText="1"/>
      <protection locked="0"/>
    </xf>
    <xf numFmtId="0" fontId="71" fillId="20" borderId="0" xfId="0" applyFont="1" applyFill="1" applyAlignment="1" applyProtection="1">
      <alignment horizontal="center" vertical="center" wrapText="1"/>
      <protection locked="0"/>
    </xf>
    <xf numFmtId="0" fontId="71" fillId="3" borderId="48" xfId="0" applyFont="1" applyFill="1" applyBorder="1" applyAlignment="1" applyProtection="1">
      <alignment horizontal="center" vertical="center" wrapText="1"/>
      <protection locked="0"/>
    </xf>
    <xf numFmtId="0" fontId="71" fillId="3" borderId="50" xfId="0" applyFont="1" applyFill="1" applyBorder="1" applyAlignment="1" applyProtection="1">
      <alignment horizontal="center" vertical="center" wrapText="1"/>
      <protection locked="0"/>
    </xf>
    <xf numFmtId="0" fontId="71" fillId="3" borderId="48" xfId="0" applyFont="1" applyFill="1" applyBorder="1" applyAlignment="1" applyProtection="1">
      <alignment horizontal="left" vertical="center" wrapText="1"/>
      <protection locked="0"/>
    </xf>
    <xf numFmtId="0" fontId="71" fillId="3" borderId="28" xfId="0" applyFont="1" applyFill="1" applyBorder="1" applyAlignment="1" applyProtection="1">
      <alignment horizontal="left" vertical="center" wrapText="1"/>
      <protection locked="0"/>
    </xf>
    <xf numFmtId="0" fontId="71" fillId="3" borderId="49" xfId="0" applyFont="1" applyFill="1" applyBorder="1" applyAlignment="1" applyProtection="1">
      <alignment horizontal="left" vertical="center" wrapText="1"/>
      <protection locked="0"/>
    </xf>
    <xf numFmtId="0" fontId="71" fillId="20" borderId="0" xfId="0" applyFont="1" applyFill="1" applyAlignment="1" applyProtection="1">
      <alignment horizontal="left" vertical="center" wrapText="1"/>
      <protection locked="0"/>
    </xf>
    <xf numFmtId="0" fontId="71" fillId="3" borderId="50" xfId="0" applyFont="1" applyFill="1" applyBorder="1" applyAlignment="1" applyProtection="1">
      <alignment horizontal="left" vertical="center" wrapText="1"/>
      <protection locked="0"/>
    </xf>
    <xf numFmtId="0" fontId="71" fillId="3" borderId="48" xfId="0" applyFont="1" applyFill="1" applyBorder="1" applyAlignment="1" applyProtection="1">
      <alignment horizontal="center" vertical="center"/>
      <protection locked="0"/>
    </xf>
    <xf numFmtId="0" fontId="71" fillId="3" borderId="28" xfId="0" applyFont="1" applyFill="1" applyBorder="1" applyAlignment="1" applyProtection="1">
      <alignment horizontal="center" vertical="center"/>
      <protection locked="0"/>
    </xf>
    <xf numFmtId="0" fontId="71" fillId="3" borderId="49" xfId="0" applyFont="1" applyFill="1" applyBorder="1" applyAlignment="1" applyProtection="1">
      <alignment horizontal="center" vertical="center"/>
      <protection locked="0"/>
    </xf>
    <xf numFmtId="0" fontId="71" fillId="20" borderId="0" xfId="0" applyFont="1" applyFill="1" applyAlignment="1" applyProtection="1">
      <alignment horizontal="center" vertical="center"/>
      <protection locked="0"/>
    </xf>
    <xf numFmtId="0" fontId="71" fillId="3" borderId="50" xfId="0" applyFont="1" applyFill="1" applyBorder="1" applyAlignment="1" applyProtection="1">
      <alignment horizontal="center" vertical="center"/>
      <protection locked="0"/>
    </xf>
    <xf numFmtId="167" fontId="70" fillId="7" borderId="0" xfId="3" applyNumberFormat="1" applyFont="1" applyFill="1" applyAlignment="1">
      <alignment horizontal="right" vertical="center"/>
    </xf>
    <xf numFmtId="167" fontId="70" fillId="20" borderId="0" xfId="3" applyNumberFormat="1" applyFont="1" applyFill="1" applyBorder="1" applyAlignment="1">
      <alignment horizontal="right" vertical="center"/>
    </xf>
    <xf numFmtId="167" fontId="70" fillId="7" borderId="0" xfId="3" applyNumberFormat="1" applyFont="1" applyFill="1" applyBorder="1" applyAlignment="1">
      <alignment horizontal="right" vertical="center"/>
    </xf>
    <xf numFmtId="167" fontId="70" fillId="7" borderId="12" xfId="3" applyNumberFormat="1" applyFont="1" applyFill="1" applyBorder="1" applyAlignment="1">
      <alignment horizontal="right" vertical="center"/>
    </xf>
    <xf numFmtId="176" fontId="67" fillId="7" borderId="21" xfId="0" applyNumberFormat="1" applyFont="1" applyFill="1" applyBorder="1" applyAlignment="1">
      <alignment horizontal="center" vertical="center"/>
    </xf>
    <xf numFmtId="0" fontId="72" fillId="5" borderId="20" xfId="0" applyFont="1" applyFill="1" applyBorder="1" applyAlignment="1">
      <alignment vertical="center"/>
    </xf>
    <xf numFmtId="167" fontId="73" fillId="5" borderId="20" xfId="3" applyNumberFormat="1" applyFont="1" applyFill="1" applyBorder="1" applyAlignment="1">
      <alignment horizontal="right" vertical="center"/>
    </xf>
    <xf numFmtId="167" fontId="73" fillId="5" borderId="24" xfId="3" applyNumberFormat="1" applyFont="1" applyFill="1" applyBorder="1" applyAlignment="1">
      <alignment horizontal="right" vertical="center"/>
    </xf>
    <xf numFmtId="167" fontId="73" fillId="20" borderId="0" xfId="3" applyNumberFormat="1" applyFont="1" applyFill="1" applyBorder="1" applyAlignment="1">
      <alignment horizontal="right" vertical="center"/>
    </xf>
    <xf numFmtId="167" fontId="73" fillId="5" borderId="26" xfId="3" applyNumberFormat="1" applyFont="1" applyFill="1" applyBorder="1" applyAlignment="1">
      <alignment horizontal="right" vertical="center"/>
    </xf>
    <xf numFmtId="176" fontId="73" fillId="5" borderId="22" xfId="3" applyNumberFormat="1" applyFont="1" applyFill="1" applyBorder="1" applyAlignment="1">
      <alignment horizontal="right" vertical="center"/>
    </xf>
    <xf numFmtId="0" fontId="70" fillId="0" borderId="12" xfId="0" applyFont="1" applyBorder="1" applyAlignment="1">
      <alignment horizontal="left" vertical="center"/>
    </xf>
    <xf numFmtId="0" fontId="67" fillId="0" borderId="0" xfId="0" applyFont="1" applyAlignment="1">
      <alignment horizontal="right" vertical="center"/>
    </xf>
    <xf numFmtId="0" fontId="67" fillId="20" borderId="0" xfId="0" applyFont="1" applyFill="1" applyAlignment="1">
      <alignment horizontal="right" vertical="center"/>
    </xf>
    <xf numFmtId="0" fontId="67" fillId="0" borderId="12" xfId="0" applyFont="1" applyBorder="1" applyAlignment="1">
      <alignment horizontal="right" vertical="center"/>
    </xf>
    <xf numFmtId="0" fontId="74" fillId="12" borderId="20" xfId="0" applyFont="1" applyFill="1" applyBorder="1" applyAlignment="1">
      <alignment horizontal="center" vertical="center" wrapText="1"/>
    </xf>
    <xf numFmtId="0" fontId="74" fillId="12" borderId="20" xfId="0" applyFont="1" applyFill="1" applyBorder="1" applyAlignment="1">
      <alignment horizontal="center" vertical="center"/>
    </xf>
    <xf numFmtId="44" fontId="73" fillId="5" borderId="22" xfId="3" applyFont="1" applyFill="1" applyBorder="1" applyAlignment="1">
      <alignment horizontal="right" vertical="center"/>
    </xf>
    <xf numFmtId="0" fontId="72" fillId="0" borderId="0" xfId="0" applyFont="1" applyAlignment="1">
      <alignment vertical="center"/>
    </xf>
    <xf numFmtId="0" fontId="73" fillId="0" borderId="0" xfId="0" applyFont="1" applyAlignment="1">
      <alignment horizontal="left" vertical="center"/>
    </xf>
    <xf numFmtId="0" fontId="73" fillId="0" borderId="0" xfId="0" applyFont="1" applyAlignment="1">
      <alignment vertical="center"/>
    </xf>
    <xf numFmtId="44" fontId="73" fillId="0" borderId="0" xfId="3" applyFont="1" applyFill="1" applyBorder="1" applyAlignment="1">
      <alignment horizontal="center" vertical="center"/>
    </xf>
    <xf numFmtId="44" fontId="73" fillId="20" borderId="0" xfId="3" applyFont="1" applyFill="1" applyBorder="1" applyAlignment="1">
      <alignment horizontal="center" vertical="center"/>
    </xf>
    <xf numFmtId="44" fontId="73" fillId="0" borderId="0" xfId="3" applyFont="1" applyFill="1" applyBorder="1" applyAlignment="1">
      <alignment vertical="center"/>
    </xf>
    <xf numFmtId="165" fontId="73" fillId="0" borderId="0" xfId="1" applyNumberFormat="1" applyFont="1" applyFill="1" applyBorder="1" applyAlignment="1">
      <alignment vertical="center"/>
    </xf>
    <xf numFmtId="44" fontId="73" fillId="0" borderId="12" xfId="3" applyFont="1" applyFill="1" applyBorder="1" applyAlignment="1">
      <alignment horizontal="right" vertical="center"/>
    </xf>
    <xf numFmtId="44" fontId="73" fillId="0" borderId="0" xfId="3" applyFont="1" applyFill="1" applyBorder="1" applyAlignment="1">
      <alignment horizontal="right" vertical="center"/>
    </xf>
    <xf numFmtId="0" fontId="68" fillId="12" borderId="24" xfId="0" applyFont="1" applyFill="1" applyBorder="1" applyAlignment="1">
      <alignment vertical="center" wrapText="1"/>
    </xf>
    <xf numFmtId="0" fontId="74" fillId="12" borderId="12" xfId="0" applyFont="1" applyFill="1" applyBorder="1" applyAlignment="1">
      <alignment vertical="center" wrapText="1"/>
    </xf>
    <xf numFmtId="0" fontId="74" fillId="12" borderId="21" xfId="0" applyFont="1" applyFill="1" applyBorder="1" applyAlignment="1">
      <alignment horizontal="center" vertical="center" wrapText="1"/>
    </xf>
    <xf numFmtId="0" fontId="74" fillId="12" borderId="12" xfId="0" applyFont="1" applyFill="1" applyBorder="1" applyAlignment="1">
      <alignment horizontal="center" vertical="center" wrapText="1"/>
    </xf>
    <xf numFmtId="0" fontId="74" fillId="12" borderId="0" xfId="0" applyFont="1" applyFill="1" applyAlignment="1">
      <alignment horizontal="center" vertical="center" wrapText="1"/>
    </xf>
    <xf numFmtId="0" fontId="74" fillId="20" borderId="0" xfId="0" applyFont="1" applyFill="1" applyAlignment="1">
      <alignment horizontal="center" vertical="center" wrapText="1"/>
    </xf>
    <xf numFmtId="0" fontId="74" fillId="12" borderId="0" xfId="0" applyFont="1" applyFill="1" applyAlignment="1">
      <alignment vertical="center" wrapText="1"/>
    </xf>
    <xf numFmtId="0" fontId="74" fillId="12" borderId="16" xfId="0" applyFont="1" applyFill="1" applyBorder="1" applyAlignment="1">
      <alignment horizontal="center" vertical="center" wrapText="1"/>
    </xf>
    <xf numFmtId="0" fontId="67" fillId="0" borderId="12" xfId="0" applyFont="1" applyBorder="1" applyAlignment="1">
      <alignment horizontal="left" vertical="center"/>
    </xf>
    <xf numFmtId="0" fontId="71" fillId="3" borderId="12" xfId="0" applyFont="1" applyFill="1" applyBorder="1" applyProtection="1">
      <protection locked="0"/>
    </xf>
    <xf numFmtId="0" fontId="39" fillId="9" borderId="21" xfId="0" applyFont="1" applyFill="1" applyBorder="1" applyAlignment="1">
      <alignment horizontal="center" vertical="center"/>
    </xf>
    <xf numFmtId="167" fontId="39" fillId="9" borderId="21" xfId="3" applyNumberFormat="1" applyFont="1" applyFill="1" applyBorder="1" applyAlignment="1">
      <alignment vertical="center"/>
    </xf>
    <xf numFmtId="0" fontId="39" fillId="3" borderId="12" xfId="63" applyNumberFormat="1" applyFont="1" applyFill="1" applyBorder="1" applyAlignment="1" applyProtection="1">
      <alignment vertical="center"/>
      <protection locked="0"/>
    </xf>
    <xf numFmtId="167" fontId="67" fillId="7" borderId="0" xfId="3" applyNumberFormat="1" applyFont="1" applyFill="1" applyBorder="1" applyAlignment="1">
      <alignment horizontal="right" vertical="center"/>
    </xf>
    <xf numFmtId="167" fontId="67" fillId="20" borderId="0" xfId="3" applyNumberFormat="1" applyFont="1" applyFill="1" applyBorder="1" applyAlignment="1">
      <alignment horizontal="right" vertical="center"/>
    </xf>
    <xf numFmtId="0" fontId="71" fillId="3" borderId="0" xfId="0" applyFont="1" applyFill="1" applyProtection="1">
      <protection locked="0"/>
    </xf>
    <xf numFmtId="167" fontId="67" fillId="7" borderId="16" xfId="3" applyNumberFormat="1" applyFont="1" applyFill="1" applyBorder="1" applyAlignment="1">
      <alignment horizontal="right" vertical="center"/>
    </xf>
    <xf numFmtId="167" fontId="67" fillId="0" borderId="0" xfId="0" applyNumberFormat="1" applyFont="1"/>
    <xf numFmtId="167" fontId="67" fillId="7" borderId="21" xfId="3" applyNumberFormat="1" applyFont="1" applyFill="1" applyBorder="1" applyAlignment="1">
      <alignment horizontal="right" vertical="center"/>
    </xf>
    <xf numFmtId="167" fontId="70" fillId="7" borderId="21" xfId="3" applyNumberFormat="1" applyFont="1" applyFill="1" applyBorder="1" applyAlignment="1">
      <alignment horizontal="right" vertical="center"/>
    </xf>
    <xf numFmtId="0" fontId="39" fillId="9" borderId="21" xfId="0" quotePrefix="1" applyFont="1" applyFill="1" applyBorder="1" applyAlignment="1">
      <alignment horizontal="center" vertical="center"/>
    </xf>
    <xf numFmtId="0" fontId="39" fillId="9" borderId="23" xfId="0" applyFont="1" applyFill="1" applyBorder="1" applyAlignment="1">
      <alignment horizontal="center" vertical="center"/>
    </xf>
    <xf numFmtId="0" fontId="73" fillId="5" borderId="20" xfId="0" applyFont="1" applyFill="1" applyBorder="1" applyAlignment="1">
      <alignment horizontal="left" vertical="center"/>
    </xf>
    <xf numFmtId="167" fontId="73" fillId="5" borderId="20" xfId="0" applyNumberFormat="1" applyFont="1" applyFill="1" applyBorder="1" applyAlignment="1">
      <alignment vertical="center"/>
    </xf>
    <xf numFmtId="167" fontId="73" fillId="5" borderId="20" xfId="3" applyNumberFormat="1" applyFont="1" applyFill="1" applyBorder="1" applyAlignment="1">
      <alignment horizontal="center" vertical="center"/>
    </xf>
    <xf numFmtId="167" fontId="73" fillId="5" borderId="24" xfId="3" applyNumberFormat="1" applyFont="1" applyFill="1" applyBorder="1" applyAlignment="1">
      <alignment horizontal="center" vertical="center"/>
    </xf>
    <xf numFmtId="167" fontId="73" fillId="20" borderId="0" xfId="3" applyNumberFormat="1" applyFont="1" applyFill="1" applyBorder="1" applyAlignment="1">
      <alignment horizontal="center" vertical="center"/>
    </xf>
    <xf numFmtId="0" fontId="73" fillId="5" borderId="26" xfId="0" applyFont="1" applyFill="1" applyBorder="1" applyAlignment="1">
      <alignment horizontal="left" vertical="center"/>
    </xf>
    <xf numFmtId="167" fontId="73" fillId="5" borderId="20" xfId="3" applyNumberFormat="1" applyFont="1" applyFill="1" applyBorder="1" applyAlignment="1">
      <alignment vertical="center"/>
    </xf>
    <xf numFmtId="0" fontId="73" fillId="0" borderId="0" xfId="0" applyFont="1" applyAlignment="1">
      <alignment horizontal="left"/>
    </xf>
    <xf numFmtId="0" fontId="73" fillId="0" borderId="0" xfId="0" applyFont="1"/>
    <xf numFmtId="44" fontId="73" fillId="0" borderId="0" xfId="3" applyFont="1"/>
    <xf numFmtId="44" fontId="73" fillId="20" borderId="0" xfId="3" applyFont="1" applyFill="1" applyBorder="1"/>
    <xf numFmtId="44" fontId="73" fillId="0" borderId="0" xfId="3" applyFont="1" applyBorder="1"/>
    <xf numFmtId="44" fontId="73" fillId="0" borderId="12" xfId="3" applyFont="1" applyBorder="1"/>
    <xf numFmtId="0" fontId="74" fillId="12" borderId="20" xfId="0" applyFont="1" applyFill="1" applyBorder="1" applyAlignment="1">
      <alignment horizontal="left" vertical="center" wrapText="1"/>
    </xf>
    <xf numFmtId="0" fontId="74" fillId="12" borderId="25" xfId="0" applyFont="1" applyFill="1" applyBorder="1" applyAlignment="1">
      <alignment horizontal="left" vertical="center" wrapText="1"/>
    </xf>
    <xf numFmtId="0" fontId="74" fillId="12" borderId="20" xfId="0" applyFont="1" applyFill="1" applyBorder="1" applyAlignment="1">
      <alignment horizontal="right" vertical="center" wrapText="1"/>
    </xf>
    <xf numFmtId="0" fontId="74" fillId="12" borderId="24" xfId="0" applyFont="1" applyFill="1" applyBorder="1" applyAlignment="1">
      <alignment horizontal="right" vertical="center" wrapText="1"/>
    </xf>
    <xf numFmtId="0" fontId="74" fillId="20" borderId="0" xfId="0" applyFont="1" applyFill="1" applyAlignment="1">
      <alignment horizontal="right" vertical="center" wrapText="1"/>
    </xf>
    <xf numFmtId="0" fontId="74" fillId="12" borderId="26" xfId="0" applyFont="1" applyFill="1" applyBorder="1" applyAlignment="1">
      <alignment horizontal="left" vertical="center" wrapText="1"/>
    </xf>
    <xf numFmtId="0" fontId="75" fillId="9" borderId="21" xfId="0" applyFont="1" applyFill="1" applyBorder="1" applyAlignment="1" applyProtection="1">
      <alignment horizontal="left"/>
      <protection locked="0"/>
    </xf>
    <xf numFmtId="0" fontId="70" fillId="9" borderId="0" xfId="0" applyFont="1" applyFill="1" applyAlignment="1" applyProtection="1">
      <alignment horizontal="left"/>
      <protection locked="0"/>
    </xf>
    <xf numFmtId="44" fontId="39" fillId="9" borderId="21" xfId="3" applyFont="1" applyFill="1" applyBorder="1" applyAlignment="1" applyProtection="1">
      <alignment horizontal="right" vertical="center"/>
      <protection locked="0"/>
    </xf>
    <xf numFmtId="44" fontId="39" fillId="7" borderId="12" xfId="3" applyFont="1" applyFill="1" applyBorder="1" applyAlignment="1" applyProtection="1">
      <alignment horizontal="right" vertical="center"/>
      <protection locked="0"/>
    </xf>
    <xf numFmtId="44" fontId="67" fillId="7" borderId="13" xfId="3" applyFont="1" applyFill="1" applyBorder="1" applyAlignment="1">
      <alignment horizontal="right" vertical="center"/>
    </xf>
    <xf numFmtId="44" fontId="67" fillId="20" borderId="0" xfId="3" applyFont="1" applyFill="1" applyBorder="1" applyAlignment="1">
      <alignment horizontal="right" vertical="center"/>
    </xf>
    <xf numFmtId="0" fontId="75" fillId="9" borderId="16" xfId="0" applyFont="1" applyFill="1" applyBorder="1" applyAlignment="1" applyProtection="1">
      <alignment horizontal="left"/>
      <protection locked="0"/>
    </xf>
    <xf numFmtId="44" fontId="67" fillId="7" borderId="12" xfId="3" applyFont="1" applyFill="1" applyBorder="1" applyAlignment="1">
      <alignment horizontal="right" vertical="center"/>
    </xf>
    <xf numFmtId="44" fontId="67" fillId="7" borderId="16" xfId="3" applyFont="1" applyFill="1" applyBorder="1" applyAlignment="1">
      <alignment horizontal="right" vertical="center"/>
    </xf>
    <xf numFmtId="44" fontId="67" fillId="7" borderId="17" xfId="3" applyFont="1" applyFill="1" applyBorder="1" applyAlignment="1">
      <alignment horizontal="right" vertical="center"/>
    </xf>
    <xf numFmtId="44" fontId="67" fillId="7" borderId="23" xfId="3" applyFont="1" applyFill="1" applyBorder="1" applyAlignment="1">
      <alignment horizontal="right" vertical="center"/>
    </xf>
    <xf numFmtId="44" fontId="73" fillId="5" borderId="20" xfId="3" applyFont="1" applyFill="1" applyBorder="1" applyAlignment="1">
      <alignment horizontal="right" vertical="center"/>
    </xf>
    <xf numFmtId="44" fontId="73" fillId="5" borderId="24" xfId="3" applyFont="1" applyFill="1" applyBorder="1" applyAlignment="1">
      <alignment horizontal="right" vertical="center"/>
    </xf>
    <xf numFmtId="44" fontId="73" fillId="20" borderId="0" xfId="3" applyFont="1" applyFill="1" applyBorder="1" applyAlignment="1">
      <alignment horizontal="right" vertical="center"/>
    </xf>
    <xf numFmtId="44" fontId="73" fillId="5" borderId="26" xfId="3" applyFont="1" applyFill="1" applyBorder="1" applyAlignment="1">
      <alignment horizontal="right" vertical="center"/>
    </xf>
    <xf numFmtId="0" fontId="67" fillId="0" borderId="0" xfId="0" applyFont="1" applyAlignment="1">
      <alignment vertical="center"/>
    </xf>
    <xf numFmtId="0" fontId="67" fillId="20" borderId="0" xfId="0" applyFont="1" applyFill="1"/>
    <xf numFmtId="0" fontId="74" fillId="12" borderId="25" xfId="0" applyFont="1" applyFill="1" applyBorder="1" applyAlignment="1">
      <alignment vertical="center" wrapText="1"/>
    </xf>
    <xf numFmtId="0" fontId="74" fillId="12" borderId="25" xfId="0" applyFont="1" applyFill="1" applyBorder="1" applyAlignment="1">
      <alignment horizontal="right" vertical="center" wrapText="1"/>
    </xf>
    <xf numFmtId="0" fontId="67" fillId="7" borderId="21" xfId="3" applyNumberFormat="1" applyFont="1" applyFill="1" applyBorder="1" applyAlignment="1">
      <alignment horizontal="right" vertical="center"/>
    </xf>
    <xf numFmtId="9" fontId="39" fillId="9" borderId="12" xfId="63" applyFont="1" applyFill="1" applyBorder="1" applyAlignment="1" applyProtection="1">
      <alignment horizontal="right" vertical="center"/>
      <protection locked="0"/>
    </xf>
    <xf numFmtId="9" fontId="39" fillId="20" borderId="0" xfId="63" applyFont="1" applyFill="1" applyBorder="1" applyAlignment="1" applyProtection="1">
      <alignment horizontal="right" vertical="center"/>
      <protection locked="0"/>
    </xf>
    <xf numFmtId="0" fontId="76" fillId="0" borderId="0" xfId="0" applyFont="1" applyAlignment="1">
      <alignment vertical="center"/>
    </xf>
    <xf numFmtId="0" fontId="77" fillId="0" borderId="0" xfId="0" applyFont="1"/>
    <xf numFmtId="0" fontId="24" fillId="3" borderId="0" xfId="0" applyFont="1" applyFill="1" applyAlignment="1">
      <alignment vertical="center" wrapText="1"/>
    </xf>
    <xf numFmtId="0" fontId="13" fillId="7" borderId="0" xfId="0" applyFont="1" applyFill="1" applyAlignment="1">
      <alignment vertical="center" wrapText="1"/>
    </xf>
    <xf numFmtId="44" fontId="70" fillId="7" borderId="12" xfId="3" applyFont="1" applyFill="1" applyBorder="1" applyAlignment="1" applyProtection="1">
      <alignment horizontal="right" vertical="center"/>
      <protection locked="0"/>
    </xf>
    <xf numFmtId="167" fontId="73" fillId="25" borderId="24" xfId="3" applyNumberFormat="1" applyFont="1" applyFill="1" applyBorder="1" applyAlignment="1">
      <alignment horizontal="right" vertical="center"/>
    </xf>
    <xf numFmtId="0" fontId="79" fillId="25" borderId="0" xfId="5" applyFont="1" applyFill="1"/>
    <xf numFmtId="167" fontId="71" fillId="3" borderId="28" xfId="3" applyNumberFormat="1" applyFont="1" applyFill="1" applyBorder="1" applyAlignment="1" applyProtection="1">
      <alignment horizontal="center" vertical="center" wrapText="1"/>
      <protection locked="0"/>
    </xf>
    <xf numFmtId="0" fontId="80" fillId="0" borderId="0" xfId="78" applyFont="1"/>
    <xf numFmtId="0" fontId="81" fillId="0" borderId="0" xfId="0" applyFont="1"/>
    <xf numFmtId="0" fontId="23" fillId="22" borderId="24" xfId="0" applyFont="1" applyFill="1" applyBorder="1" applyAlignment="1">
      <alignment horizontal="center" vertical="center" wrapText="1"/>
    </xf>
    <xf numFmtId="0" fontId="23" fillId="22" borderId="25" xfId="0" applyFont="1" applyFill="1" applyBorder="1" applyAlignment="1">
      <alignment horizontal="center" vertical="center" wrapText="1"/>
    </xf>
    <xf numFmtId="0" fontId="23" fillId="22" borderId="26" xfId="0" applyFont="1" applyFill="1" applyBorder="1" applyAlignment="1">
      <alignment horizontal="center" vertical="center" wrapText="1"/>
    </xf>
    <xf numFmtId="0" fontId="23" fillId="23" borderId="24" xfId="0" applyFont="1" applyFill="1" applyBorder="1" applyAlignment="1">
      <alignment horizontal="center" vertical="center" wrapText="1"/>
    </xf>
    <xf numFmtId="0" fontId="23" fillId="23" borderId="25" xfId="0" applyFont="1" applyFill="1" applyBorder="1" applyAlignment="1">
      <alignment horizontal="center" vertical="center" wrapText="1"/>
    </xf>
    <xf numFmtId="0" fontId="23" fillId="23" borderId="26" xfId="0" applyFont="1" applyFill="1" applyBorder="1" applyAlignment="1">
      <alignment horizontal="center" vertical="center" wrapText="1"/>
    </xf>
    <xf numFmtId="0" fontId="23" fillId="24" borderId="12" xfId="0" applyFont="1" applyFill="1" applyBorder="1" applyAlignment="1">
      <alignment horizontal="center" vertical="center" wrapText="1"/>
    </xf>
    <xf numFmtId="0" fontId="23" fillId="24" borderId="0" xfId="0" applyFont="1" applyFill="1" applyAlignment="1">
      <alignment horizontal="center" vertical="center" wrapText="1"/>
    </xf>
    <xf numFmtId="0" fontId="13" fillId="7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left" vertical="center" wrapText="1"/>
    </xf>
    <xf numFmtId="0" fontId="79" fillId="25" borderId="0" xfId="5" applyFont="1" applyFill="1"/>
    <xf numFmtId="0" fontId="42" fillId="18" borderId="51" xfId="0" applyFont="1" applyFill="1" applyBorder="1" applyAlignment="1">
      <alignment horizontal="center" vertical="center" wrapText="1"/>
    </xf>
    <xf numFmtId="0" fontId="42" fillId="18" borderId="0" xfId="0" applyFont="1" applyFill="1" applyAlignment="1">
      <alignment horizontal="center" vertical="center" wrapText="1"/>
    </xf>
    <xf numFmtId="0" fontId="57" fillId="17" borderId="51" xfId="0" applyFont="1" applyFill="1" applyBorder="1" applyAlignment="1">
      <alignment horizontal="center" vertical="center" wrapText="1"/>
    </xf>
    <xf numFmtId="0" fontId="57" fillId="17" borderId="0" xfId="0" applyFont="1" applyFill="1" applyAlignment="1">
      <alignment horizontal="center" vertical="center" wrapText="1"/>
    </xf>
    <xf numFmtId="14" fontId="25" fillId="0" borderId="26" xfId="0" applyNumberFormat="1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8" fillId="3" borderId="0" xfId="0" applyFont="1" applyFill="1" applyAlignment="1" applyProtection="1">
      <alignment horizontal="center"/>
      <protection locked="0"/>
    </xf>
    <xf numFmtId="0" fontId="28" fillId="3" borderId="16" xfId="0" applyFont="1" applyFill="1" applyBorder="1" applyAlignment="1" applyProtection="1">
      <alignment horizontal="center"/>
      <protection locked="0"/>
    </xf>
    <xf numFmtId="0" fontId="24" fillId="3" borderId="17" xfId="0" applyFont="1" applyFill="1" applyBorder="1" applyAlignment="1" applyProtection="1">
      <alignment horizontal="center"/>
      <protection locked="0"/>
    </xf>
    <xf numFmtId="0" fontId="24" fillId="3" borderId="18" xfId="0" applyFont="1" applyFill="1" applyBorder="1" applyAlignment="1" applyProtection="1">
      <alignment horizontal="center"/>
      <protection locked="0"/>
    </xf>
    <xf numFmtId="0" fontId="24" fillId="3" borderId="19" xfId="0" applyFont="1" applyFill="1" applyBorder="1" applyAlignment="1" applyProtection="1">
      <alignment horizontal="center"/>
      <protection locked="0"/>
    </xf>
    <xf numFmtId="0" fontId="30" fillId="0" borderId="0" xfId="0" applyFont="1" applyAlignment="1">
      <alignment horizontal="center"/>
    </xf>
    <xf numFmtId="0" fontId="27" fillId="6" borderId="22" xfId="0" applyFont="1" applyFill="1" applyBorder="1" applyAlignment="1">
      <alignment horizontal="left" vertical="center"/>
    </xf>
    <xf numFmtId="0" fontId="27" fillId="6" borderId="23" xfId="0" applyFont="1" applyFill="1" applyBorder="1" applyAlignment="1">
      <alignment horizontal="left" vertical="center"/>
    </xf>
    <xf numFmtId="0" fontId="24" fillId="3" borderId="24" xfId="0" applyFont="1" applyFill="1" applyBorder="1" applyAlignment="1" applyProtection="1">
      <alignment horizontal="center"/>
      <protection locked="0"/>
    </xf>
    <xf numFmtId="0" fontId="24" fillId="3" borderId="25" xfId="0" applyFont="1" applyFill="1" applyBorder="1" applyAlignment="1" applyProtection="1">
      <alignment horizontal="center"/>
      <protection locked="0"/>
    </xf>
    <xf numFmtId="0" fontId="24" fillId="3" borderId="26" xfId="0" applyFont="1" applyFill="1" applyBorder="1" applyAlignment="1" applyProtection="1">
      <alignment horizontal="center"/>
      <protection locked="0"/>
    </xf>
    <xf numFmtId="0" fontId="24" fillId="3" borderId="12" xfId="0" applyFont="1" applyFill="1" applyBorder="1" applyAlignment="1" applyProtection="1">
      <alignment horizontal="center"/>
      <protection locked="0"/>
    </xf>
    <xf numFmtId="0" fontId="24" fillId="3" borderId="0" xfId="0" applyFont="1" applyFill="1" applyAlignment="1" applyProtection="1">
      <alignment horizontal="center"/>
      <protection locked="0"/>
    </xf>
    <xf numFmtId="0" fontId="24" fillId="3" borderId="16" xfId="0" applyFont="1" applyFill="1" applyBorder="1" applyAlignment="1" applyProtection="1">
      <alignment horizontal="center"/>
      <protection locked="0"/>
    </xf>
    <xf numFmtId="0" fontId="24" fillId="3" borderId="13" xfId="0" applyFont="1" applyFill="1" applyBorder="1" applyAlignment="1" applyProtection="1">
      <alignment horizontal="center"/>
      <protection locked="0"/>
    </xf>
    <xf numFmtId="0" fontId="24" fillId="3" borderId="14" xfId="0" applyFont="1" applyFill="1" applyBorder="1" applyAlignment="1" applyProtection="1">
      <alignment horizontal="center"/>
      <protection locked="0"/>
    </xf>
    <xf numFmtId="0" fontId="24" fillId="3" borderId="15" xfId="0" applyFont="1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left"/>
    </xf>
    <xf numFmtId="0" fontId="24" fillId="3" borderId="0" xfId="0" applyFont="1" applyFill="1" applyAlignment="1" applyProtection="1">
      <alignment horizontal="center" vertical="center" wrapText="1"/>
      <protection locked="0"/>
    </xf>
    <xf numFmtId="0" fontId="24" fillId="3" borderId="16" xfId="0" applyFont="1" applyFill="1" applyBorder="1" applyAlignment="1" applyProtection="1">
      <alignment horizontal="center" vertical="center" wrapText="1"/>
      <protection locked="0"/>
    </xf>
    <xf numFmtId="0" fontId="31" fillId="6" borderId="12" xfId="0" applyFont="1" applyFill="1" applyBorder="1" applyAlignment="1">
      <alignment horizontal="left"/>
    </xf>
    <xf numFmtId="0" fontId="31" fillId="6" borderId="0" xfId="0" applyFont="1" applyFill="1" applyAlignment="1">
      <alignment horizontal="left"/>
    </xf>
    <xf numFmtId="0" fontId="31" fillId="6" borderId="13" xfId="0" applyFont="1" applyFill="1" applyBorder="1" applyAlignment="1">
      <alignment horizontal="left"/>
    </xf>
    <xf numFmtId="0" fontId="31" fillId="6" borderId="14" xfId="0" applyFont="1" applyFill="1" applyBorder="1" applyAlignment="1">
      <alignment horizontal="left"/>
    </xf>
    <xf numFmtId="0" fontId="31" fillId="6" borderId="17" xfId="0" applyFont="1" applyFill="1" applyBorder="1" applyAlignment="1">
      <alignment horizontal="left"/>
    </xf>
    <xf numFmtId="0" fontId="31" fillId="6" borderId="18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16" fillId="0" borderId="16" xfId="0" applyFont="1" applyBorder="1" applyAlignment="1">
      <alignment horizontal="center"/>
    </xf>
    <xf numFmtId="0" fontId="12" fillId="6" borderId="13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/>
    </xf>
    <xf numFmtId="0" fontId="24" fillId="6" borderId="0" xfId="0" applyFont="1" applyFill="1" applyAlignment="1">
      <alignment horizontal="center"/>
    </xf>
    <xf numFmtId="0" fontId="24" fillId="6" borderId="16" xfId="0" applyFont="1" applyFill="1" applyBorder="1" applyAlignment="1">
      <alignment horizontal="center"/>
    </xf>
    <xf numFmtId="0" fontId="24" fillId="6" borderId="17" xfId="0" applyFont="1" applyFill="1" applyBorder="1" applyAlignment="1">
      <alignment horizontal="center"/>
    </xf>
    <xf numFmtId="0" fontId="24" fillId="6" borderId="18" xfId="0" applyFont="1" applyFill="1" applyBorder="1" applyAlignment="1">
      <alignment horizontal="center"/>
    </xf>
    <xf numFmtId="0" fontId="24" fillId="6" borderId="19" xfId="0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24" fillId="6" borderId="13" xfId="0" applyFont="1" applyFill="1" applyBorder="1" applyAlignment="1">
      <alignment horizontal="center"/>
    </xf>
    <xf numFmtId="0" fontId="24" fillId="6" borderId="14" xfId="0" applyFont="1" applyFill="1" applyBorder="1" applyAlignment="1">
      <alignment horizontal="center"/>
    </xf>
    <xf numFmtId="0" fontId="24" fillId="6" borderId="15" xfId="0" applyFont="1" applyFill="1" applyBorder="1" applyAlignment="1">
      <alignment horizontal="center"/>
    </xf>
    <xf numFmtId="0" fontId="12" fillId="6" borderId="13" xfId="0" applyFont="1" applyFill="1" applyBorder="1" applyAlignment="1">
      <alignment horizontal="left"/>
    </xf>
    <xf numFmtId="0" fontId="12" fillId="6" borderId="14" xfId="0" applyFont="1" applyFill="1" applyBorder="1" applyAlignment="1">
      <alignment horizontal="left"/>
    </xf>
    <xf numFmtId="0" fontId="12" fillId="6" borderId="12" xfId="0" applyFont="1" applyFill="1" applyBorder="1" applyAlignment="1">
      <alignment horizontal="left"/>
    </xf>
    <xf numFmtId="0" fontId="12" fillId="6" borderId="0" xfId="0" applyFont="1" applyFill="1" applyAlignment="1">
      <alignment horizontal="left"/>
    </xf>
    <xf numFmtId="0" fontId="12" fillId="6" borderId="17" xfId="0" applyFont="1" applyFill="1" applyBorder="1" applyAlignment="1">
      <alignment horizontal="left"/>
    </xf>
    <xf numFmtId="0" fontId="12" fillId="6" borderId="18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20" fillId="3" borderId="0" xfId="0" applyFont="1" applyFill="1" applyAlignment="1">
      <alignment horizontal="center" wrapText="1"/>
    </xf>
    <xf numFmtId="0" fontId="42" fillId="14" borderId="20" xfId="0" applyFont="1" applyFill="1" applyBorder="1" applyAlignment="1">
      <alignment horizontal="center" vertical="center" wrapText="1"/>
    </xf>
    <xf numFmtId="44" fontId="60" fillId="21" borderId="44" xfId="0" applyNumberFormat="1" applyFont="1" applyFill="1" applyBorder="1" applyAlignment="1">
      <alignment horizontal="center" vertical="center" wrapText="1"/>
    </xf>
    <xf numFmtId="44" fontId="60" fillId="21" borderId="45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20" fillId="7" borderId="2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7" borderId="0" xfId="0" applyFont="1" applyFill="1" applyAlignment="1">
      <alignment horizontal="center" vertical="center"/>
    </xf>
  </cellXfs>
  <cellStyles count="79">
    <cellStyle name="Comma" xfId="1" builtinId="3"/>
    <cellStyle name="Comma 10" xfId="68" xr:uid="{00000000-0005-0000-0000-000001000000}"/>
    <cellStyle name="Comma 10 2" xfId="77" xr:uid="{65B3F384-2654-452D-892E-0CCE076904AF}"/>
    <cellStyle name="Comma 13" xfId="2" xr:uid="{00000000-0005-0000-0000-000002000000}"/>
    <cellStyle name="Comma 13 2" xfId="73" xr:uid="{42288F09-A5E9-4096-958D-D689EF8D96D1}"/>
    <cellStyle name="Comma 2" xfId="72" xr:uid="{7BCE084C-E94A-4E0E-A5A1-19A831FE2E34}"/>
    <cellStyle name="Currency" xfId="3" builtinId="4"/>
    <cellStyle name="Currency 13" xfId="4" xr:uid="{00000000-0005-0000-0000-000004000000}"/>
    <cellStyle name="Currency 13 10" xfId="67" xr:uid="{00000000-0005-0000-0000-000005000000}"/>
    <cellStyle name="Currency 13 10 2" xfId="76" xr:uid="{BD5460D6-FEF6-4905-8870-794861231FFC}"/>
    <cellStyle name="Currency 13 2" xfId="75" xr:uid="{C91C4ECB-A9EB-4529-A357-1F6857C946AA}"/>
    <cellStyle name="Currency 2" xfId="71" xr:uid="{E26CF264-AF17-43E4-B198-D547746AB58E}"/>
    <cellStyle name="Currency 3" xfId="74" xr:uid="{C402F819-71C4-4374-BD2F-35E45FBA08C0}"/>
    <cellStyle name="Hyperlink" xfId="78" builtinId="8"/>
    <cellStyle name="Normal" xfId="0" builtinId="0"/>
    <cellStyle name="Normal 10" xfId="5" xr:uid="{00000000-0005-0000-0000-000007000000}"/>
    <cellStyle name="Normal 10 10" xfId="69" xr:uid="{00000000-0005-0000-0000-000008000000}"/>
    <cellStyle name="Normal 11" xfId="6" xr:uid="{00000000-0005-0000-0000-000009000000}"/>
    <cellStyle name="Normal 12" xfId="7" xr:uid="{00000000-0005-0000-0000-00000A000000}"/>
    <cellStyle name="Normal 13" xfId="8" xr:uid="{00000000-0005-0000-0000-00000B000000}"/>
    <cellStyle name="Normal 14" xfId="9" xr:uid="{00000000-0005-0000-0000-00000C000000}"/>
    <cellStyle name="Normal 15" xfId="10" xr:uid="{00000000-0005-0000-0000-00000D000000}"/>
    <cellStyle name="Normal 16" xfId="11" xr:uid="{00000000-0005-0000-0000-00000E000000}"/>
    <cellStyle name="Normal 17" xfId="12" xr:uid="{00000000-0005-0000-0000-00000F000000}"/>
    <cellStyle name="Normal 18" xfId="13" xr:uid="{00000000-0005-0000-0000-000010000000}"/>
    <cellStyle name="Normal 19" xfId="14" xr:uid="{00000000-0005-0000-0000-000011000000}"/>
    <cellStyle name="Normal 2 10 2" xfId="15" xr:uid="{00000000-0005-0000-0000-000012000000}"/>
    <cellStyle name="Normal 2 2" xfId="16" xr:uid="{00000000-0005-0000-0000-000013000000}"/>
    <cellStyle name="Normal 20" xfId="17" xr:uid="{00000000-0005-0000-0000-000014000000}"/>
    <cellStyle name="Normal 21" xfId="18" xr:uid="{00000000-0005-0000-0000-000015000000}"/>
    <cellStyle name="Normal 22" xfId="19" xr:uid="{00000000-0005-0000-0000-000016000000}"/>
    <cellStyle name="Normal 23" xfId="20" xr:uid="{00000000-0005-0000-0000-000017000000}"/>
    <cellStyle name="Normal 24" xfId="21" xr:uid="{00000000-0005-0000-0000-000018000000}"/>
    <cellStyle name="Normal 25" xfId="22" xr:uid="{00000000-0005-0000-0000-000019000000}"/>
    <cellStyle name="Normal 26" xfId="23" xr:uid="{00000000-0005-0000-0000-00001A000000}"/>
    <cellStyle name="Normal 27" xfId="24" xr:uid="{00000000-0005-0000-0000-00001B000000}"/>
    <cellStyle name="Normal 28" xfId="25" xr:uid="{00000000-0005-0000-0000-00001C000000}"/>
    <cellStyle name="Normal 29" xfId="26" xr:uid="{00000000-0005-0000-0000-00001D000000}"/>
    <cellStyle name="Normal 3" xfId="27" xr:uid="{00000000-0005-0000-0000-00001E000000}"/>
    <cellStyle name="Normal 30" xfId="28" xr:uid="{00000000-0005-0000-0000-00001F000000}"/>
    <cellStyle name="Normal 31" xfId="29" xr:uid="{00000000-0005-0000-0000-000020000000}"/>
    <cellStyle name="Normal 32" xfId="30" xr:uid="{00000000-0005-0000-0000-000021000000}"/>
    <cellStyle name="Normal 33" xfId="31" xr:uid="{00000000-0005-0000-0000-000022000000}"/>
    <cellStyle name="Normal 34" xfId="32" xr:uid="{00000000-0005-0000-0000-000023000000}"/>
    <cellStyle name="Normal 35" xfId="33" xr:uid="{00000000-0005-0000-0000-000024000000}"/>
    <cellStyle name="Normal 36" xfId="34" xr:uid="{00000000-0005-0000-0000-000025000000}"/>
    <cellStyle name="Normal 37" xfId="35" xr:uid="{00000000-0005-0000-0000-000026000000}"/>
    <cellStyle name="Normal 38" xfId="36" xr:uid="{00000000-0005-0000-0000-000027000000}"/>
    <cellStyle name="Normal 39" xfId="37" xr:uid="{00000000-0005-0000-0000-000028000000}"/>
    <cellStyle name="Normal 4" xfId="38" xr:uid="{00000000-0005-0000-0000-000029000000}"/>
    <cellStyle name="Normal 40" xfId="39" xr:uid="{00000000-0005-0000-0000-00002A000000}"/>
    <cellStyle name="Normal 41" xfId="40" xr:uid="{00000000-0005-0000-0000-00002B000000}"/>
    <cellStyle name="Normal 42" xfId="41" xr:uid="{00000000-0005-0000-0000-00002C000000}"/>
    <cellStyle name="Normal 43" xfId="42" xr:uid="{00000000-0005-0000-0000-00002D000000}"/>
    <cellStyle name="Normal 44" xfId="43" xr:uid="{00000000-0005-0000-0000-00002E000000}"/>
    <cellStyle name="Normal 45" xfId="44" xr:uid="{00000000-0005-0000-0000-00002F000000}"/>
    <cellStyle name="Normal 46" xfId="45" xr:uid="{00000000-0005-0000-0000-000030000000}"/>
    <cellStyle name="Normal 47" xfId="46" xr:uid="{00000000-0005-0000-0000-000031000000}"/>
    <cellStyle name="Normal 5" xfId="47" xr:uid="{00000000-0005-0000-0000-000032000000}"/>
    <cellStyle name="Normal 51" xfId="48" xr:uid="{00000000-0005-0000-0000-000033000000}"/>
    <cellStyle name="Normal 52" xfId="49" xr:uid="{00000000-0005-0000-0000-000034000000}"/>
    <cellStyle name="Normal 53" xfId="50" xr:uid="{00000000-0005-0000-0000-000035000000}"/>
    <cellStyle name="Normal 54" xfId="51" xr:uid="{00000000-0005-0000-0000-000036000000}"/>
    <cellStyle name="Normal 55" xfId="52" xr:uid="{00000000-0005-0000-0000-000037000000}"/>
    <cellStyle name="Normal 56" xfId="53" xr:uid="{00000000-0005-0000-0000-000038000000}"/>
    <cellStyle name="Normal 57" xfId="54" xr:uid="{00000000-0005-0000-0000-000039000000}"/>
    <cellStyle name="Normal 58" xfId="55" xr:uid="{00000000-0005-0000-0000-00003A000000}"/>
    <cellStyle name="Normal 59" xfId="56" xr:uid="{00000000-0005-0000-0000-00003B000000}"/>
    <cellStyle name="Normal 6" xfId="57" xr:uid="{00000000-0005-0000-0000-00003C000000}"/>
    <cellStyle name="Normal 60" xfId="58" xr:uid="{00000000-0005-0000-0000-00003D000000}"/>
    <cellStyle name="Normal 61" xfId="59" xr:uid="{00000000-0005-0000-0000-00003E000000}"/>
    <cellStyle name="Normal 7" xfId="60" xr:uid="{00000000-0005-0000-0000-00003F000000}"/>
    <cellStyle name="Normal 8" xfId="61" xr:uid="{00000000-0005-0000-0000-000040000000}"/>
    <cellStyle name="Normal 9" xfId="62" xr:uid="{00000000-0005-0000-0000-000041000000}"/>
    <cellStyle name="Percent" xfId="63" builtinId="5"/>
    <cellStyle name="Percent 13" xfId="64" xr:uid="{00000000-0005-0000-0000-000043000000}"/>
    <cellStyle name="Percent 3" xfId="70" xr:uid="{00000000-0005-0000-0000-000044000000}"/>
    <cellStyle name="Percent 8" xfId="65" xr:uid="{00000000-0005-0000-0000-000045000000}"/>
    <cellStyle name="Style 1" xfId="66" xr:uid="{00000000-0005-0000-0000-000046000000}"/>
  </cellStyles>
  <dxfs count="0"/>
  <tableStyles count="0" defaultTableStyle="TableStyleMedium9" defaultPivotStyle="PivotStyleLight16"/>
  <colors>
    <mruColors>
      <color rgb="FFCCCCFF"/>
      <color rgb="FF99CCFF"/>
      <color rgb="FF333399"/>
      <color rgb="FFFFFFCC"/>
      <color rgb="FF969696"/>
      <color rgb="FF6D15D8"/>
      <color rgb="FFFF9E0C"/>
      <color rgb="FF9999FF"/>
      <color rgb="FF10B1AE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58272</xdr:colOff>
      <xdr:row>12</xdr:row>
      <xdr:rowOff>0</xdr:rowOff>
    </xdr:from>
    <xdr:to>
      <xdr:col>0</xdr:col>
      <xdr:colOff>398932</xdr:colOff>
      <xdr:row>13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8272" y="4272643"/>
          <a:ext cx="340660" cy="340178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lIns="36000" tIns="36000" rIns="36000" bIns="36000" rtlCol="0" anchor="ctr"/>
        <a:lstStyle/>
        <a:p>
          <a:pPr algn="ctr"/>
          <a:r>
            <a:rPr lang="en-GB" sz="1400" b="1">
              <a:latin typeface="Arial" pitchFamily="34" charset="0"/>
              <a:cs typeface="Arial" pitchFamily="34" charset="0"/>
            </a:rPr>
            <a:t>2</a:t>
          </a:r>
        </a:p>
      </xdr:txBody>
    </xdr:sp>
    <xdr:clientData/>
  </xdr:twoCellAnchor>
  <xdr:twoCellAnchor>
    <xdr:from>
      <xdr:col>0</xdr:col>
      <xdr:colOff>58272</xdr:colOff>
      <xdr:row>32</xdr:row>
      <xdr:rowOff>163285</xdr:rowOff>
    </xdr:from>
    <xdr:to>
      <xdr:col>0</xdr:col>
      <xdr:colOff>398932</xdr:colOff>
      <xdr:row>33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8272" y="5823856"/>
          <a:ext cx="340660" cy="299357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lIns="36000" tIns="36000" rIns="36000" bIns="36000" rtlCol="0" anchor="ctr"/>
        <a:lstStyle/>
        <a:p>
          <a:pPr algn="ctr"/>
          <a:r>
            <a:rPr lang="en-GB" sz="1400" b="1">
              <a:latin typeface="Arial" pitchFamily="34" charset="0"/>
              <a:cs typeface="Arial" pitchFamily="34" charset="0"/>
            </a:rPr>
            <a:t>4</a:t>
          </a:r>
        </a:p>
      </xdr:txBody>
    </xdr:sp>
    <xdr:clientData/>
  </xdr:twoCellAnchor>
  <xdr:twoCellAnchor>
    <xdr:from>
      <xdr:col>0</xdr:col>
      <xdr:colOff>35832</xdr:colOff>
      <xdr:row>3</xdr:row>
      <xdr:rowOff>296333</xdr:rowOff>
    </xdr:from>
    <xdr:to>
      <xdr:col>0</xdr:col>
      <xdr:colOff>349250</xdr:colOff>
      <xdr:row>5</xdr:row>
      <xdr:rowOff>37496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5832" y="952500"/>
          <a:ext cx="313418" cy="291496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400" b="1">
              <a:latin typeface="Arial" pitchFamily="34" charset="0"/>
              <a:cs typeface="Arial" pitchFamily="34" charset="0"/>
            </a:rPr>
            <a:t>1</a:t>
          </a:r>
        </a:p>
      </xdr:txBody>
    </xdr:sp>
    <xdr:clientData/>
  </xdr:twoCellAnchor>
  <xdr:twoCellAnchor>
    <xdr:from>
      <xdr:col>0</xdr:col>
      <xdr:colOff>47385</xdr:colOff>
      <xdr:row>60</xdr:row>
      <xdr:rowOff>240280</xdr:rowOff>
    </xdr:from>
    <xdr:to>
      <xdr:col>0</xdr:col>
      <xdr:colOff>410934</xdr:colOff>
      <xdr:row>60</xdr:row>
      <xdr:rowOff>547005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7385" y="12132923"/>
          <a:ext cx="363549" cy="306725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lIns="36000" tIns="36000" rIns="36000" bIns="36000" rtlCol="0" anchor="ctr"/>
        <a:lstStyle/>
        <a:p>
          <a:pPr algn="ctr"/>
          <a:r>
            <a:rPr lang="en-GB" sz="1400" b="1">
              <a:latin typeface="Arial" pitchFamily="34" charset="0"/>
              <a:cs typeface="Arial" pitchFamily="34" charset="0"/>
            </a:rPr>
            <a:t>4</a:t>
          </a:r>
        </a:p>
      </xdr:txBody>
    </xdr:sp>
    <xdr:clientData/>
  </xdr:twoCellAnchor>
  <xdr:twoCellAnchor>
    <xdr:from>
      <xdr:col>0</xdr:col>
      <xdr:colOff>47385</xdr:colOff>
      <xdr:row>66</xdr:row>
      <xdr:rowOff>240280</xdr:rowOff>
    </xdr:from>
    <xdr:to>
      <xdr:col>0</xdr:col>
      <xdr:colOff>410934</xdr:colOff>
      <xdr:row>66</xdr:row>
      <xdr:rowOff>547005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20C496C-B586-4DA9-B3EA-7D667C9FE9B5}"/>
            </a:ext>
          </a:extLst>
        </xdr:cNvPr>
        <xdr:cNvSpPr/>
      </xdr:nvSpPr>
      <xdr:spPr>
        <a:xfrm>
          <a:off x="50560" y="10037272"/>
          <a:ext cx="328624" cy="306725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lIns="36000" tIns="36000" rIns="36000" bIns="36000" rtlCol="0" anchor="ctr"/>
        <a:lstStyle/>
        <a:p>
          <a:pPr algn="ctr"/>
          <a:r>
            <a:rPr lang="en-GB" sz="1400" b="1">
              <a:latin typeface="Arial" pitchFamily="34" charset="0"/>
              <a:cs typeface="Arial" pitchFamily="34" charset="0"/>
            </a:rPr>
            <a:t>5</a:t>
          </a:r>
        </a:p>
      </xdr:txBody>
    </xdr:sp>
    <xdr:clientData/>
  </xdr:twoCellAnchor>
  <xdr:twoCellAnchor>
    <xdr:from>
      <xdr:col>0</xdr:col>
      <xdr:colOff>17991</xdr:colOff>
      <xdr:row>34</xdr:row>
      <xdr:rowOff>17991</xdr:rowOff>
    </xdr:from>
    <xdr:to>
      <xdr:col>0</xdr:col>
      <xdr:colOff>352965</xdr:colOff>
      <xdr:row>35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1A865E81-95EA-4935-A219-A076DC5EA337}"/>
            </a:ext>
          </a:extLst>
        </xdr:cNvPr>
        <xdr:cNvSpPr/>
      </xdr:nvSpPr>
      <xdr:spPr>
        <a:xfrm>
          <a:off x="17991" y="7436908"/>
          <a:ext cx="334974" cy="316250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lIns="36000" tIns="36000" rIns="36000" bIns="36000" rtlCol="0" anchor="ctr"/>
        <a:lstStyle/>
        <a:p>
          <a:pPr algn="ctr"/>
          <a:r>
            <a:rPr lang="en-GB" sz="1400" b="1">
              <a:latin typeface="Arial" pitchFamily="34" charset="0"/>
              <a:cs typeface="Arial" pitchFamily="34" charset="0"/>
            </a:rPr>
            <a:t>3</a:t>
          </a:r>
        </a:p>
        <a:p>
          <a:pPr algn="ctr"/>
          <a:endParaRPr lang="en-GB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58272</xdr:colOff>
      <xdr:row>12</xdr:row>
      <xdr:rowOff>0</xdr:rowOff>
    </xdr:from>
    <xdr:to>
      <xdr:col>0</xdr:col>
      <xdr:colOff>398932</xdr:colOff>
      <xdr:row>13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8EAFE36-AF29-4B8E-8BC2-36D75EAD287F}"/>
            </a:ext>
          </a:extLst>
        </xdr:cNvPr>
        <xdr:cNvSpPr/>
      </xdr:nvSpPr>
      <xdr:spPr>
        <a:xfrm>
          <a:off x="58272" y="2676525"/>
          <a:ext cx="321610" cy="314325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lIns="36000" tIns="36000" rIns="36000" bIns="36000" rtlCol="0" anchor="ctr"/>
        <a:lstStyle/>
        <a:p>
          <a:pPr algn="ctr"/>
          <a:r>
            <a:rPr lang="en-GB" sz="1400" b="1">
              <a:latin typeface="Arial" pitchFamily="34" charset="0"/>
              <a:cs typeface="Arial" pitchFamily="34" charset="0"/>
            </a:rPr>
            <a:t>2</a:t>
          </a:r>
        </a:p>
      </xdr:txBody>
    </xdr:sp>
    <xdr:clientData/>
  </xdr:twoCellAnchor>
  <xdr:twoCellAnchor>
    <xdr:from>
      <xdr:col>0</xdr:col>
      <xdr:colOff>58272</xdr:colOff>
      <xdr:row>32</xdr:row>
      <xdr:rowOff>163285</xdr:rowOff>
    </xdr:from>
    <xdr:to>
      <xdr:col>0</xdr:col>
      <xdr:colOff>398932</xdr:colOff>
      <xdr:row>33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851B4ADA-6EEA-405E-855C-0910E3A7A3EC}"/>
            </a:ext>
          </a:extLst>
        </xdr:cNvPr>
        <xdr:cNvSpPr/>
      </xdr:nvSpPr>
      <xdr:spPr>
        <a:xfrm>
          <a:off x="58272" y="6999060"/>
          <a:ext cx="321610" cy="1815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lIns="36000" tIns="36000" rIns="36000" bIns="36000" rtlCol="0" anchor="ctr"/>
        <a:lstStyle/>
        <a:p>
          <a:pPr algn="ctr"/>
          <a:r>
            <a:rPr lang="en-GB" sz="1400" b="1">
              <a:latin typeface="Arial" pitchFamily="34" charset="0"/>
              <a:cs typeface="Arial" pitchFamily="34" charset="0"/>
            </a:rPr>
            <a:t>4</a:t>
          </a:r>
        </a:p>
      </xdr:txBody>
    </xdr:sp>
    <xdr:clientData/>
  </xdr:twoCellAnchor>
  <xdr:twoCellAnchor>
    <xdr:from>
      <xdr:col>0</xdr:col>
      <xdr:colOff>35832</xdr:colOff>
      <xdr:row>3</xdr:row>
      <xdr:rowOff>296333</xdr:rowOff>
    </xdr:from>
    <xdr:to>
      <xdr:col>0</xdr:col>
      <xdr:colOff>349250</xdr:colOff>
      <xdr:row>5</xdr:row>
      <xdr:rowOff>37496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6296B115-4E35-4B0F-81AF-4B83CE9663AF}"/>
            </a:ext>
          </a:extLst>
        </xdr:cNvPr>
        <xdr:cNvSpPr/>
      </xdr:nvSpPr>
      <xdr:spPr>
        <a:xfrm>
          <a:off x="35832" y="950383"/>
          <a:ext cx="316593" cy="296788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400" b="1">
              <a:latin typeface="Arial" pitchFamily="34" charset="0"/>
              <a:cs typeface="Arial" pitchFamily="34" charset="0"/>
            </a:rPr>
            <a:t>1</a:t>
          </a:r>
        </a:p>
      </xdr:txBody>
    </xdr:sp>
    <xdr:clientData/>
  </xdr:twoCellAnchor>
  <xdr:twoCellAnchor>
    <xdr:from>
      <xdr:col>0</xdr:col>
      <xdr:colOff>47385</xdr:colOff>
      <xdr:row>60</xdr:row>
      <xdr:rowOff>240280</xdr:rowOff>
    </xdr:from>
    <xdr:to>
      <xdr:col>0</xdr:col>
      <xdr:colOff>410934</xdr:colOff>
      <xdr:row>60</xdr:row>
      <xdr:rowOff>547005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6B23D5E-16C8-4F29-ABB9-73A8B6188B4A}"/>
            </a:ext>
          </a:extLst>
        </xdr:cNvPr>
        <xdr:cNvSpPr/>
      </xdr:nvSpPr>
      <xdr:spPr>
        <a:xfrm>
          <a:off x="50560" y="9552555"/>
          <a:ext cx="328624" cy="306725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lIns="36000" tIns="36000" rIns="36000" bIns="36000" rtlCol="0" anchor="ctr"/>
        <a:lstStyle/>
        <a:p>
          <a:pPr algn="ctr"/>
          <a:r>
            <a:rPr lang="en-GB" sz="1400" b="1">
              <a:latin typeface="Arial" pitchFamily="34" charset="0"/>
              <a:cs typeface="Arial" pitchFamily="34" charset="0"/>
            </a:rPr>
            <a:t>4</a:t>
          </a:r>
        </a:p>
      </xdr:txBody>
    </xdr:sp>
    <xdr:clientData/>
  </xdr:twoCellAnchor>
  <xdr:twoCellAnchor>
    <xdr:from>
      <xdr:col>0</xdr:col>
      <xdr:colOff>47385</xdr:colOff>
      <xdr:row>66</xdr:row>
      <xdr:rowOff>240280</xdr:rowOff>
    </xdr:from>
    <xdr:to>
      <xdr:col>0</xdr:col>
      <xdr:colOff>410934</xdr:colOff>
      <xdr:row>66</xdr:row>
      <xdr:rowOff>547005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26E8DCD8-48A0-436F-BCE5-289D4B0D4A15}"/>
            </a:ext>
          </a:extLst>
        </xdr:cNvPr>
        <xdr:cNvSpPr/>
      </xdr:nvSpPr>
      <xdr:spPr>
        <a:xfrm>
          <a:off x="50560" y="10933680"/>
          <a:ext cx="328624" cy="306725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lIns="36000" tIns="36000" rIns="36000" bIns="36000" rtlCol="0" anchor="ctr"/>
        <a:lstStyle/>
        <a:p>
          <a:pPr algn="ctr"/>
          <a:r>
            <a:rPr lang="en-GB" sz="1400" b="1">
              <a:latin typeface="Arial" pitchFamily="34" charset="0"/>
              <a:cs typeface="Arial" pitchFamily="34" charset="0"/>
            </a:rPr>
            <a:t>5</a:t>
          </a:r>
        </a:p>
      </xdr:txBody>
    </xdr:sp>
    <xdr:clientData/>
  </xdr:twoCellAnchor>
  <xdr:twoCellAnchor>
    <xdr:from>
      <xdr:col>0</xdr:col>
      <xdr:colOff>17991</xdr:colOff>
      <xdr:row>34</xdr:row>
      <xdr:rowOff>17991</xdr:rowOff>
    </xdr:from>
    <xdr:to>
      <xdr:col>0</xdr:col>
      <xdr:colOff>352965</xdr:colOff>
      <xdr:row>35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5949165C-C6BB-4900-A616-3122F7D97ED6}"/>
            </a:ext>
          </a:extLst>
        </xdr:cNvPr>
        <xdr:cNvSpPr/>
      </xdr:nvSpPr>
      <xdr:spPr>
        <a:xfrm>
          <a:off x="17991" y="7161741"/>
          <a:ext cx="331799" cy="296334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lIns="36000" tIns="36000" rIns="36000" bIns="36000" rtlCol="0" anchor="ctr"/>
        <a:lstStyle/>
        <a:p>
          <a:pPr algn="ctr"/>
          <a:r>
            <a:rPr lang="en-GB" sz="1400" b="1">
              <a:latin typeface="Arial" pitchFamily="34" charset="0"/>
              <a:cs typeface="Arial" pitchFamily="34" charset="0"/>
            </a:rPr>
            <a:t>3</a:t>
          </a:r>
        </a:p>
        <a:p>
          <a:pPr algn="ctr"/>
          <a:endParaRPr lang="en-GB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</xdr:colOff>
      <xdr:row>19</xdr:row>
      <xdr:rowOff>0</xdr:rowOff>
    </xdr:from>
    <xdr:to>
      <xdr:col>0</xdr:col>
      <xdr:colOff>407895</xdr:colOff>
      <xdr:row>20</xdr:row>
      <xdr:rowOff>150160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7235" y="3429000"/>
          <a:ext cx="340660" cy="340660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lIns="36000" tIns="36000" rIns="36000" bIns="36000" rtlCol="0" anchor="ctr"/>
        <a:lstStyle/>
        <a:p>
          <a:pPr algn="ctr"/>
          <a:r>
            <a:rPr lang="en-GB" sz="1100" b="1">
              <a:latin typeface="Arial" pitchFamily="34" charset="0"/>
              <a:cs typeface="Arial" pitchFamily="34" charset="0"/>
            </a:rPr>
            <a:t>13</a:t>
          </a:r>
        </a:p>
      </xdr:txBody>
    </xdr:sp>
    <xdr:clientData/>
  </xdr:twoCellAnchor>
  <xdr:twoCellAnchor>
    <xdr:from>
      <xdr:col>0</xdr:col>
      <xdr:colOff>67235</xdr:colOff>
      <xdr:row>39</xdr:row>
      <xdr:rowOff>0</xdr:rowOff>
    </xdr:from>
    <xdr:to>
      <xdr:col>0</xdr:col>
      <xdr:colOff>407895</xdr:colOff>
      <xdr:row>40</xdr:row>
      <xdr:rowOff>150160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7235" y="7059706"/>
          <a:ext cx="340660" cy="340660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lIns="36000" tIns="36000" rIns="36000" bIns="36000" rtlCol="0" anchor="ctr"/>
        <a:lstStyle/>
        <a:p>
          <a:pPr algn="ctr"/>
          <a:r>
            <a:rPr lang="en-GB" sz="1100" b="1">
              <a:latin typeface="Arial" pitchFamily="34" charset="0"/>
              <a:cs typeface="Arial" pitchFamily="34" charset="0"/>
            </a:rPr>
            <a:t>14</a:t>
          </a:r>
        </a:p>
      </xdr:txBody>
    </xdr:sp>
    <xdr:clientData/>
  </xdr:twoCellAnchor>
  <xdr:twoCellAnchor>
    <xdr:from>
      <xdr:col>0</xdr:col>
      <xdr:colOff>67235</xdr:colOff>
      <xdr:row>51</xdr:row>
      <xdr:rowOff>156882</xdr:rowOff>
    </xdr:from>
    <xdr:to>
      <xdr:col>0</xdr:col>
      <xdr:colOff>407895</xdr:colOff>
      <xdr:row>52</xdr:row>
      <xdr:rowOff>307042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7235" y="9502588"/>
          <a:ext cx="340660" cy="340660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lIns="36000" tIns="36000" rIns="36000" bIns="36000" rtlCol="0" anchor="ctr"/>
        <a:lstStyle/>
        <a:p>
          <a:pPr algn="ctr"/>
          <a:r>
            <a:rPr lang="en-GB" sz="1100" b="1">
              <a:latin typeface="Arial" pitchFamily="34" charset="0"/>
              <a:cs typeface="Arial" pitchFamily="34" charset="0"/>
            </a:rPr>
            <a:t>15</a:t>
          </a:r>
        </a:p>
      </xdr:txBody>
    </xdr:sp>
    <xdr:clientData/>
  </xdr:twoCellAnchor>
  <xdr:twoCellAnchor>
    <xdr:from>
      <xdr:col>0</xdr:col>
      <xdr:colOff>67235</xdr:colOff>
      <xdr:row>54</xdr:row>
      <xdr:rowOff>156882</xdr:rowOff>
    </xdr:from>
    <xdr:to>
      <xdr:col>0</xdr:col>
      <xdr:colOff>407895</xdr:colOff>
      <xdr:row>55</xdr:row>
      <xdr:rowOff>307042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7235" y="10410264"/>
          <a:ext cx="340660" cy="340660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lIns="36000" tIns="36000" rIns="36000" bIns="36000" rtlCol="0" anchor="ctr"/>
        <a:lstStyle/>
        <a:p>
          <a:pPr algn="ctr"/>
          <a:r>
            <a:rPr lang="en-GB" sz="1100" b="1">
              <a:latin typeface="Arial" pitchFamily="34" charset="0"/>
              <a:cs typeface="Arial" pitchFamily="34" charset="0"/>
            </a:rPr>
            <a:t>16</a:t>
          </a:r>
        </a:p>
      </xdr:txBody>
    </xdr:sp>
    <xdr:clientData/>
  </xdr:twoCellAnchor>
  <xdr:twoCellAnchor>
    <xdr:from>
      <xdr:col>0</xdr:col>
      <xdr:colOff>67235</xdr:colOff>
      <xdr:row>62</xdr:row>
      <xdr:rowOff>89647</xdr:rowOff>
    </xdr:from>
    <xdr:to>
      <xdr:col>0</xdr:col>
      <xdr:colOff>407895</xdr:colOff>
      <xdr:row>64</xdr:row>
      <xdr:rowOff>49307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67235" y="12236823"/>
          <a:ext cx="340660" cy="340660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lIns="36000" tIns="36000" rIns="36000" bIns="36000" rtlCol="0" anchor="ctr"/>
        <a:lstStyle/>
        <a:p>
          <a:pPr algn="ctr"/>
          <a:r>
            <a:rPr lang="en-GB" sz="1100" b="1">
              <a:latin typeface="Arial" pitchFamily="34" charset="0"/>
              <a:cs typeface="Arial" pitchFamily="34" charset="0"/>
            </a:rPr>
            <a:t>17</a:t>
          </a:r>
        </a:p>
      </xdr:txBody>
    </xdr:sp>
    <xdr:clientData/>
  </xdr:twoCellAnchor>
  <xdr:twoCellAnchor>
    <xdr:from>
      <xdr:col>8</xdr:col>
      <xdr:colOff>66302</xdr:colOff>
      <xdr:row>61</xdr:row>
      <xdr:rowOff>75641</xdr:rowOff>
    </xdr:from>
    <xdr:to>
      <xdr:col>8</xdr:col>
      <xdr:colOff>406962</xdr:colOff>
      <xdr:row>63</xdr:row>
      <xdr:rowOff>35301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2480552" y="11981891"/>
          <a:ext cx="340660" cy="340660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lIns="36000" tIns="36000" rIns="36000" bIns="36000" rtlCol="0" anchor="ctr"/>
        <a:lstStyle/>
        <a:p>
          <a:pPr algn="ctr"/>
          <a:r>
            <a:rPr lang="en-GB" sz="1100" b="1">
              <a:latin typeface="Arial" pitchFamily="34" charset="0"/>
              <a:cs typeface="Arial" pitchFamily="34" charset="0"/>
            </a:rPr>
            <a:t>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lie.kooseenlin@synnovis.co.u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569CC-FCAC-4215-8F77-9AADB2AE436B}">
  <dimension ref="A1:B28"/>
  <sheetViews>
    <sheetView workbookViewId="0">
      <selection activeCell="B6" sqref="B6"/>
    </sheetView>
  </sheetViews>
  <sheetFormatPr defaultRowHeight="14.5"/>
  <cols>
    <col min="1" max="1" width="111" bestFit="1" customWidth="1"/>
    <col min="2" max="2" width="70.08984375" customWidth="1"/>
  </cols>
  <sheetData>
    <row r="1" spans="1:2" ht="18.5">
      <c r="A1" s="519" t="s">
        <v>497</v>
      </c>
    </row>
    <row r="2" spans="1:2">
      <c r="B2" s="396"/>
    </row>
    <row r="3" spans="1:2">
      <c r="A3" t="s">
        <v>504</v>
      </c>
      <c r="B3" s="396"/>
    </row>
    <row r="4" spans="1:2">
      <c r="B4" s="396"/>
    </row>
    <row r="5" spans="1:2" ht="14.5" customHeight="1">
      <c r="A5" t="s">
        <v>498</v>
      </c>
      <c r="B5" s="512" t="s">
        <v>524</v>
      </c>
    </row>
    <row r="6" spans="1:2" ht="14.5" customHeight="1">
      <c r="B6" s="513" t="s">
        <v>523</v>
      </c>
    </row>
    <row r="7" spans="1:2" ht="16" customHeight="1">
      <c r="B7" s="516" t="s">
        <v>522</v>
      </c>
    </row>
    <row r="8" spans="1:2">
      <c r="B8" s="518" t="s">
        <v>500</v>
      </c>
    </row>
    <row r="9" spans="1:2">
      <c r="B9" s="396"/>
    </row>
    <row r="10" spans="1:2">
      <c r="A10" s="395" t="s">
        <v>483</v>
      </c>
    </row>
    <row r="11" spans="1:2">
      <c r="A11" t="s">
        <v>499</v>
      </c>
    </row>
    <row r="13" spans="1:2">
      <c r="A13" s="395" t="s">
        <v>484</v>
      </c>
    </row>
    <row r="14" spans="1:2">
      <c r="A14" t="s">
        <v>501</v>
      </c>
    </row>
    <row r="15" spans="1:2">
      <c r="A15" t="s">
        <v>485</v>
      </c>
    </row>
    <row r="16" spans="1:2">
      <c r="A16" t="s">
        <v>491</v>
      </c>
    </row>
    <row r="18" spans="1:2">
      <c r="A18" s="395" t="s">
        <v>492</v>
      </c>
    </row>
    <row r="19" spans="1:2">
      <c r="A19" t="s">
        <v>493</v>
      </c>
    </row>
    <row r="20" spans="1:2">
      <c r="A20" t="s">
        <v>502</v>
      </c>
    </row>
    <row r="22" spans="1:2">
      <c r="A22" s="395" t="s">
        <v>503</v>
      </c>
    </row>
    <row r="23" spans="1:2">
      <c r="A23" t="s">
        <v>505</v>
      </c>
    </row>
    <row r="24" spans="1:2">
      <c r="A24" t="s">
        <v>506</v>
      </c>
    </row>
    <row r="25" spans="1:2">
      <c r="A25" s="395"/>
    </row>
    <row r="26" spans="1:2">
      <c r="A26" s="395"/>
    </row>
    <row r="28" spans="1:2">
      <c r="A28" t="s">
        <v>486</v>
      </c>
      <c r="B28" s="396" t="s">
        <v>487</v>
      </c>
    </row>
  </sheetData>
  <hyperlinks>
    <hyperlink ref="B28" r:id="rId1" xr:uid="{3F7FF991-7913-46BC-81F7-EE04A5496D9D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  <pageSetUpPr fitToPage="1"/>
  </sheetPr>
  <dimension ref="C2:S41"/>
  <sheetViews>
    <sheetView zoomScale="80" zoomScaleNormal="80" workbookViewId="0">
      <selection activeCell="A45" sqref="A45:Q109"/>
    </sheetView>
  </sheetViews>
  <sheetFormatPr defaultColWidth="9.1796875" defaultRowHeight="12.5"/>
  <cols>
    <col min="1" max="2" width="3" style="23" customWidth="1"/>
    <col min="3" max="3" width="22.453125" style="23" bestFit="1" customWidth="1"/>
    <col min="4" max="4" width="1.54296875" style="23" customWidth="1"/>
    <col min="5" max="5" width="12.453125" style="23" customWidth="1"/>
    <col min="6" max="14" width="9.1796875" style="23"/>
    <col min="15" max="15" width="1.54296875" style="23" customWidth="1"/>
    <col min="16" max="16" width="13.453125" style="23" customWidth="1"/>
    <col min="17" max="17" width="1.54296875" style="23" customWidth="1"/>
    <col min="18" max="16384" width="9.1796875" style="23"/>
  </cols>
  <sheetData>
    <row r="2" spans="3:19">
      <c r="E2" s="24" t="s">
        <v>218</v>
      </c>
    </row>
    <row r="4" spans="3:19" ht="45" customHeight="1">
      <c r="E4" s="592" t="s">
        <v>185</v>
      </c>
      <c r="F4" s="592"/>
      <c r="G4" s="592" t="s">
        <v>186</v>
      </c>
      <c r="H4" s="592"/>
      <c r="I4" s="592" t="s">
        <v>187</v>
      </c>
      <c r="J4" s="592"/>
      <c r="K4" s="592" t="s">
        <v>188</v>
      </c>
      <c r="L4" s="592"/>
      <c r="M4" s="592" t="s">
        <v>189</v>
      </c>
      <c r="N4" s="592"/>
      <c r="O4" s="33"/>
      <c r="P4" s="33" t="s">
        <v>205</v>
      </c>
      <c r="Q4" s="33"/>
      <c r="R4" s="33" t="s">
        <v>190</v>
      </c>
      <c r="S4" s="33" t="s">
        <v>131</v>
      </c>
    </row>
    <row r="5" spans="3:19">
      <c r="C5" s="23" t="s">
        <v>155</v>
      </c>
      <c r="E5" s="28">
        <v>0.16669999999999999</v>
      </c>
      <c r="F5" s="27">
        <v>0.40348216943918358</v>
      </c>
      <c r="G5" s="28">
        <v>4.7500000000000001E-2</v>
      </c>
      <c r="H5" s="27">
        <v>0.11496942440528626</v>
      </c>
      <c r="I5" s="28">
        <v>0.06</v>
      </c>
      <c r="J5" s="27">
        <v>0.14522453609088792</v>
      </c>
      <c r="K5" s="28">
        <v>0</v>
      </c>
      <c r="L5" s="27">
        <v>0</v>
      </c>
      <c r="M5" s="28">
        <v>8.5800000000000001E-2</v>
      </c>
      <c r="N5" s="27">
        <v>0.20767108660996972</v>
      </c>
      <c r="P5" s="26">
        <f t="shared" ref="P5:P19" si="0">+F5+H5+J5+L5+N5</f>
        <v>0.87134721654532743</v>
      </c>
      <c r="R5" s="29">
        <v>7.0726915520628666E-2</v>
      </c>
      <c r="S5" s="30">
        <v>0.1511185146645195</v>
      </c>
    </row>
    <row r="6" spans="3:19">
      <c r="C6" s="23" t="s">
        <v>175</v>
      </c>
      <c r="E6" s="28">
        <v>0.16669999999999999</v>
      </c>
      <c r="F6" s="27">
        <v>0.33496526619121114</v>
      </c>
      <c r="G6" s="28">
        <v>6.8000000000000005E-2</v>
      </c>
      <c r="H6" s="27">
        <v>0.13663850090583299</v>
      </c>
      <c r="I6" s="28">
        <v>4.2700000000000002E-2</v>
      </c>
      <c r="J6" s="27">
        <v>8.5800941009986309E-2</v>
      </c>
      <c r="K6" s="28">
        <v>0</v>
      </c>
      <c r="L6" s="27">
        <v>0</v>
      </c>
      <c r="M6" s="28">
        <v>0.17</v>
      </c>
      <c r="N6" s="27">
        <v>0.34159625226458251</v>
      </c>
      <c r="P6" s="26">
        <f t="shared" si="0"/>
        <v>0.89900096037161292</v>
      </c>
      <c r="R6" s="29">
        <v>8.9303921812439374E-2</v>
      </c>
      <c r="S6" s="30">
        <v>4.1357656855363828E-2</v>
      </c>
    </row>
    <row r="7" spans="3:19">
      <c r="C7" s="23" t="s">
        <v>159</v>
      </c>
      <c r="E7" s="28">
        <v>0.16669999999999999</v>
      </c>
      <c r="F7" s="27">
        <v>0.44403903623705149</v>
      </c>
      <c r="G7" s="28">
        <v>0.1</v>
      </c>
      <c r="H7" s="27">
        <v>0.26637014771268841</v>
      </c>
      <c r="I7" s="28">
        <v>0.01</v>
      </c>
      <c r="J7" s="27">
        <v>2.6637014771268838E-2</v>
      </c>
      <c r="K7" s="28">
        <v>0</v>
      </c>
      <c r="L7" s="27">
        <v>0</v>
      </c>
      <c r="M7" s="28">
        <v>0.14000000000000001</v>
      </c>
      <c r="N7" s="27">
        <v>0.37291820679776377</v>
      </c>
      <c r="P7" s="26">
        <f t="shared" si="0"/>
        <v>1.1099644055187725</v>
      </c>
      <c r="R7" s="29">
        <v>6.5404988684688269E-3</v>
      </c>
      <c r="S7" s="30">
        <v>2.1278949970172118E-2</v>
      </c>
    </row>
    <row r="8" spans="3:19">
      <c r="C8" s="23" t="s">
        <v>219</v>
      </c>
      <c r="E8" s="28">
        <v>0.16669999999999999</v>
      </c>
      <c r="F8" s="27">
        <v>1.6005322055705975</v>
      </c>
      <c r="G8" s="28">
        <v>6.8000000000000005E-2</v>
      </c>
      <c r="H8" s="27">
        <v>0.65288656256029176</v>
      </c>
      <c r="I8" s="28">
        <v>4.2700000000000002E-2</v>
      </c>
      <c r="J8" s="27">
        <v>0.40997435619594791</v>
      </c>
      <c r="K8" s="28">
        <v>0</v>
      </c>
      <c r="L8" s="27">
        <v>0</v>
      </c>
      <c r="M8" s="28">
        <v>0.23580000000000001</v>
      </c>
      <c r="N8" s="27">
        <v>2.2639801684076</v>
      </c>
      <c r="P8" s="26">
        <f t="shared" si="0"/>
        <v>4.9273732927344369</v>
      </c>
      <c r="R8" s="29">
        <v>2.4868816990375768E-3</v>
      </c>
      <c r="S8" s="30">
        <v>5.9996171000623058E-2</v>
      </c>
    </row>
    <row r="9" spans="3:19">
      <c r="C9" s="23" t="s">
        <v>164</v>
      </c>
      <c r="E9" s="28">
        <v>0.16669999999999999</v>
      </c>
      <c r="F9" s="27">
        <v>0.49512286229566654</v>
      </c>
      <c r="G9" s="28">
        <v>2.3800000000000002E-2</v>
      </c>
      <c r="H9" s="27">
        <v>7.0689406854450298E-2</v>
      </c>
      <c r="I9" s="28">
        <v>4.2900000000000001E-2</v>
      </c>
      <c r="J9" s="27">
        <v>0.12741914092671922</v>
      </c>
      <c r="K9" s="28">
        <v>0</v>
      </c>
      <c r="L9" s="27">
        <v>0</v>
      </c>
      <c r="M9" s="28">
        <v>0.14149999999999999</v>
      </c>
      <c r="N9" s="27">
        <v>0.42027525503801322</v>
      </c>
      <c r="P9" s="26">
        <f t="shared" si="0"/>
        <v>1.1135066651148493</v>
      </c>
      <c r="R9" s="29">
        <v>2.5490537415135159E-2</v>
      </c>
      <c r="S9" s="30">
        <v>0.118099664509886</v>
      </c>
    </row>
    <row r="10" spans="3:19">
      <c r="C10" s="23" t="s">
        <v>156</v>
      </c>
      <c r="E10" s="28">
        <v>0.16669999999999999</v>
      </c>
      <c r="F10" s="27">
        <v>0.46827737342587261</v>
      </c>
      <c r="G10" s="28">
        <v>0.1143</v>
      </c>
      <c r="H10" s="27">
        <v>0.32108040661414067</v>
      </c>
      <c r="I10" s="28">
        <v>0</v>
      </c>
      <c r="J10" s="27">
        <v>0</v>
      </c>
      <c r="K10" s="28">
        <v>0</v>
      </c>
      <c r="L10" s="27">
        <v>0</v>
      </c>
      <c r="M10" s="28">
        <v>0.12379999999999999</v>
      </c>
      <c r="N10" s="27">
        <v>0.34776687960481728</v>
      </c>
      <c r="P10" s="26">
        <f t="shared" si="0"/>
        <v>1.1371246596448306</v>
      </c>
      <c r="R10" s="29">
        <v>2.5739225585038918E-2</v>
      </c>
      <c r="S10" s="30">
        <v>3.1261888052486399E-2</v>
      </c>
    </row>
    <row r="11" spans="3:19">
      <c r="C11" s="23" t="s">
        <v>157</v>
      </c>
      <c r="E11" s="28">
        <v>0.16669999999999999</v>
      </c>
      <c r="F11" s="27">
        <v>0.4388522440817878</v>
      </c>
      <c r="G11" s="28">
        <v>0.1143</v>
      </c>
      <c r="H11" s="27">
        <v>0.30090468805367937</v>
      </c>
      <c r="I11" s="28">
        <v>0</v>
      </c>
      <c r="J11" s="27">
        <v>0</v>
      </c>
      <c r="K11" s="28">
        <v>0</v>
      </c>
      <c r="L11" s="27">
        <v>0</v>
      </c>
      <c r="M11" s="28">
        <v>0.12379999999999999</v>
      </c>
      <c r="N11" s="27">
        <v>0.32591426405114177</v>
      </c>
      <c r="P11" s="26">
        <f t="shared" si="0"/>
        <v>1.0656711961866088</v>
      </c>
      <c r="R11" s="29">
        <v>2.0342692298127376E-2</v>
      </c>
      <c r="S11" s="30">
        <v>5.2092561772341221E-2</v>
      </c>
    </row>
    <row r="12" spans="3:19">
      <c r="C12" s="23" t="s">
        <v>160</v>
      </c>
      <c r="E12" s="28">
        <v>0.16669999999999999</v>
      </c>
      <c r="F12" s="27">
        <v>0.46813115075528661</v>
      </c>
      <c r="G12" s="28">
        <v>4.6300000000000001E-2</v>
      </c>
      <c r="H12" s="27">
        <v>0.13002082951391583</v>
      </c>
      <c r="I12" s="28">
        <v>2.29E-2</v>
      </c>
      <c r="J12" s="27">
        <v>6.4308358442087959E-2</v>
      </c>
      <c r="K12" s="28">
        <v>0</v>
      </c>
      <c r="L12" s="27">
        <v>0</v>
      </c>
      <c r="M12" s="28">
        <v>0.13270000000000001</v>
      </c>
      <c r="N12" s="27">
        <v>0.37265149193297264</v>
      </c>
      <c r="P12" s="26">
        <f t="shared" si="0"/>
        <v>1.035111830644263</v>
      </c>
      <c r="R12" s="29">
        <v>0.13866852353833528</v>
      </c>
      <c r="S12" s="30">
        <v>0.16270417820664362</v>
      </c>
    </row>
    <row r="13" spans="3:19">
      <c r="C13" s="23" t="s">
        <v>161</v>
      </c>
      <c r="E13" s="28">
        <v>0.16669999999999999</v>
      </c>
      <c r="F13" s="27">
        <v>0.58509469650423429</v>
      </c>
      <c r="G13" s="28">
        <v>2.2800000000000001E-2</v>
      </c>
      <c r="H13" s="27">
        <v>8.0024949491880895E-2</v>
      </c>
      <c r="I13" s="28">
        <v>3.2500000000000001E-2</v>
      </c>
      <c r="J13" s="27">
        <v>0.11407065168798812</v>
      </c>
      <c r="K13" s="28"/>
      <c r="L13" s="27">
        <v>0</v>
      </c>
      <c r="M13" s="28">
        <v>9.9500000000000005E-2</v>
      </c>
      <c r="N13" s="27">
        <v>0.3492316874755329</v>
      </c>
      <c r="P13" s="26">
        <f t="shared" si="0"/>
        <v>1.1284219851596362</v>
      </c>
      <c r="R13" s="29">
        <v>0.12434408495187883</v>
      </c>
      <c r="S13" s="30">
        <v>0.12472081630136007</v>
      </c>
    </row>
    <row r="14" spans="3:19">
      <c r="C14" s="23" t="s">
        <v>0</v>
      </c>
      <c r="E14" s="28">
        <v>0.16669999999999999</v>
      </c>
      <c r="F14" s="27">
        <v>0.45532895569529958</v>
      </c>
      <c r="G14" s="28">
        <v>4.0399999999999998E-2</v>
      </c>
      <c r="H14" s="27">
        <v>0.11034966892675528</v>
      </c>
      <c r="I14" s="28">
        <v>0</v>
      </c>
      <c r="J14" s="27">
        <v>0</v>
      </c>
      <c r="K14" s="28">
        <v>0</v>
      </c>
      <c r="L14" s="27">
        <v>0</v>
      </c>
      <c r="M14" s="28">
        <v>8.3299999999999999E-2</v>
      </c>
      <c r="N14" s="27">
        <v>0.2275279064752157</v>
      </c>
      <c r="P14" s="26">
        <f t="shared" si="0"/>
        <v>0.79320653109727057</v>
      </c>
      <c r="R14" s="29">
        <v>2.4993161075327643E-2</v>
      </c>
      <c r="S14" s="30">
        <v>5.3902441665062285E-2</v>
      </c>
    </row>
    <row r="15" spans="3:19">
      <c r="C15" s="23" t="s">
        <v>158</v>
      </c>
      <c r="E15" s="28">
        <v>0.16669999999999999</v>
      </c>
      <c r="F15" s="27">
        <v>0.26861815092667557</v>
      </c>
      <c r="G15" s="28">
        <v>0.15</v>
      </c>
      <c r="H15" s="27">
        <v>0.24170799423516098</v>
      </c>
      <c r="I15" s="28">
        <v>0.01</v>
      </c>
      <c r="J15" s="27">
        <v>1.6113866282344066E-2</v>
      </c>
      <c r="K15" s="28">
        <v>0</v>
      </c>
      <c r="L15" s="27">
        <v>0</v>
      </c>
      <c r="M15" s="28">
        <v>0.14000000000000001</v>
      </c>
      <c r="N15" s="27">
        <v>0.22559412795281697</v>
      </c>
      <c r="P15" s="26">
        <f t="shared" si="0"/>
        <v>0.75203413939699759</v>
      </c>
      <c r="R15" s="29">
        <v>0.11840043769117903</v>
      </c>
      <c r="S15" s="30">
        <v>0.14991837214586837</v>
      </c>
    </row>
    <row r="16" spans="3:19">
      <c r="C16" s="23" t="s">
        <v>163</v>
      </c>
      <c r="E16" s="28">
        <v>0.16669999999999999</v>
      </c>
      <c r="F16" s="27">
        <v>0.4128515766125756</v>
      </c>
      <c r="G16" s="28">
        <v>2.3800000000000002E-2</v>
      </c>
      <c r="H16" s="27">
        <v>5.8943416456984407E-2</v>
      </c>
      <c r="I16" s="28">
        <v>4.2900000000000001E-2</v>
      </c>
      <c r="J16" s="27">
        <v>0.1062467464707828</v>
      </c>
      <c r="K16" s="28">
        <v>0</v>
      </c>
      <c r="L16" s="27">
        <v>0</v>
      </c>
      <c r="M16" s="28">
        <v>0.14149999999999999</v>
      </c>
      <c r="N16" s="27">
        <v>0.35044090036400388</v>
      </c>
      <c r="P16" s="26">
        <f t="shared" si="0"/>
        <v>0.92848263990434665</v>
      </c>
      <c r="R16" s="29">
        <v>2.074059336997339E-2</v>
      </c>
      <c r="S16" s="30">
        <v>3.0579073472504603E-2</v>
      </c>
    </row>
    <row r="17" spans="3:19">
      <c r="C17" s="23" t="s">
        <v>170</v>
      </c>
      <c r="E17" s="28">
        <v>0.16669999999999999</v>
      </c>
      <c r="F17" s="27">
        <v>0.28852243052051441</v>
      </c>
      <c r="G17" s="28">
        <v>7.0000000000000007E-2</v>
      </c>
      <c r="H17" s="27">
        <v>0.12115518978065994</v>
      </c>
      <c r="I17" s="28">
        <v>8.6300000000000002E-2</v>
      </c>
      <c r="J17" s="27">
        <v>0.1493670411152993</v>
      </c>
      <c r="K17" s="28">
        <v>0</v>
      </c>
      <c r="L17" s="27">
        <v>0</v>
      </c>
      <c r="M17" s="28">
        <v>0.15</v>
      </c>
      <c r="N17" s="27">
        <v>0.25961826381569986</v>
      </c>
      <c r="P17" s="26">
        <f t="shared" si="0"/>
        <v>0.81866292523217354</v>
      </c>
      <c r="R17" s="29">
        <v>2.0715724552983011E-2</v>
      </c>
      <c r="S17" s="30">
        <v>4.0063474000507672E-2</v>
      </c>
    </row>
    <row r="18" spans="3:19">
      <c r="C18" s="23" t="s">
        <v>166</v>
      </c>
      <c r="E18" s="28">
        <v>0.13</v>
      </c>
      <c r="F18" s="27">
        <v>1.1250337792645437</v>
      </c>
      <c r="G18" s="28">
        <v>0.14000000000000001</v>
      </c>
      <c r="H18" s="27">
        <v>1.2115748392079702</v>
      </c>
      <c r="I18" s="28">
        <v>0.2</v>
      </c>
      <c r="J18" s="27">
        <v>1.7308211988685289</v>
      </c>
      <c r="K18" s="28">
        <v>0</v>
      </c>
      <c r="L18" s="27">
        <v>0</v>
      </c>
      <c r="M18" s="28">
        <v>0.11</v>
      </c>
      <c r="N18" s="27">
        <v>0.95195165937769077</v>
      </c>
      <c r="P18" s="26">
        <f t="shared" si="0"/>
        <v>5.0193814767187339</v>
      </c>
      <c r="R18" s="29">
        <v>1.3926537514610428E-2</v>
      </c>
      <c r="S18" s="30">
        <v>0.15790761053479213</v>
      </c>
    </row>
    <row r="19" spans="3:19">
      <c r="C19" s="23" t="s">
        <v>172</v>
      </c>
      <c r="E19" s="28">
        <v>0.12</v>
      </c>
      <c r="F19" s="27">
        <v>0.55086719953085528</v>
      </c>
      <c r="G19" s="28">
        <v>0.1</v>
      </c>
      <c r="H19" s="27">
        <v>0.45905599960904608</v>
      </c>
      <c r="I19" s="28">
        <v>0.1</v>
      </c>
      <c r="J19" s="27">
        <v>0.45905599960904608</v>
      </c>
      <c r="K19" s="28">
        <v>0</v>
      </c>
      <c r="L19" s="27">
        <v>0</v>
      </c>
      <c r="M19" s="28">
        <v>3.5000000000000003E-2</v>
      </c>
      <c r="N19" s="27">
        <v>0.16066959986316612</v>
      </c>
      <c r="P19" s="26">
        <f t="shared" si="0"/>
        <v>1.6296487986121138</v>
      </c>
      <c r="R19" s="29">
        <v>4.8021685608415604E-2</v>
      </c>
      <c r="S19" s="30">
        <v>0.15970035316392414</v>
      </c>
    </row>
    <row r="20" spans="3:19">
      <c r="E20" s="31"/>
      <c r="F20" s="32"/>
      <c r="G20" s="31"/>
      <c r="H20" s="32"/>
      <c r="I20" s="31"/>
      <c r="J20" s="32"/>
      <c r="K20" s="31"/>
      <c r="L20" s="32"/>
      <c r="M20" s="31"/>
      <c r="N20" s="32"/>
      <c r="P20" s="26"/>
      <c r="R20" s="31"/>
      <c r="S20" s="30"/>
    </row>
    <row r="21" spans="3:19">
      <c r="E21" s="31"/>
      <c r="F21" s="32"/>
      <c r="G21" s="31"/>
      <c r="H21" s="32"/>
      <c r="I21" s="31"/>
      <c r="J21" s="32"/>
      <c r="K21" s="31"/>
      <c r="L21" s="32"/>
      <c r="M21" s="31"/>
      <c r="N21" s="32"/>
      <c r="P21" s="26"/>
      <c r="R21" s="31"/>
      <c r="S21" s="30"/>
    </row>
    <row r="22" spans="3:19">
      <c r="E22" s="31"/>
      <c r="F22" s="32"/>
      <c r="G22" s="31"/>
      <c r="H22" s="32"/>
      <c r="I22" s="31"/>
      <c r="J22" s="32"/>
      <c r="K22" s="31"/>
      <c r="L22" s="32"/>
      <c r="M22" s="31"/>
      <c r="N22" s="32"/>
      <c r="P22" s="26"/>
      <c r="R22" s="31"/>
      <c r="S22" s="30"/>
    </row>
    <row r="23" spans="3:19">
      <c r="E23" s="31"/>
      <c r="F23" s="32"/>
      <c r="G23" s="31"/>
      <c r="H23" s="32"/>
      <c r="I23" s="31"/>
      <c r="J23" s="32"/>
      <c r="K23" s="31"/>
      <c r="L23" s="32"/>
      <c r="M23" s="31"/>
      <c r="N23" s="32"/>
      <c r="P23" s="26"/>
      <c r="R23" s="31"/>
      <c r="S23" s="30"/>
    </row>
    <row r="24" spans="3:19">
      <c r="E24" s="31"/>
      <c r="F24" s="32"/>
      <c r="G24" s="31"/>
      <c r="H24" s="32"/>
      <c r="I24" s="31"/>
      <c r="J24" s="32"/>
      <c r="K24" s="31"/>
      <c r="L24" s="32"/>
      <c r="M24" s="31"/>
      <c r="N24" s="32"/>
      <c r="P24" s="26"/>
      <c r="R24" s="31"/>
      <c r="S24" s="30"/>
    </row>
    <row r="25" spans="3:19">
      <c r="E25" s="31"/>
      <c r="F25" s="32"/>
      <c r="G25" s="31"/>
      <c r="H25" s="32"/>
      <c r="I25" s="31"/>
      <c r="J25" s="32"/>
      <c r="K25" s="31"/>
      <c r="L25" s="32"/>
      <c r="M25" s="31"/>
      <c r="N25" s="32"/>
      <c r="P25" s="26"/>
      <c r="R25" s="31"/>
      <c r="S25" s="30"/>
    </row>
    <row r="26" spans="3:19">
      <c r="E26" s="31"/>
      <c r="F26" s="32"/>
      <c r="G26" s="31"/>
      <c r="H26" s="32"/>
      <c r="I26" s="31"/>
      <c r="J26" s="32"/>
      <c r="K26" s="31"/>
      <c r="L26" s="32"/>
      <c r="M26" s="31"/>
      <c r="N26" s="32"/>
      <c r="P26" s="26"/>
      <c r="R26" s="31"/>
      <c r="S26" s="30"/>
    </row>
    <row r="27" spans="3:19">
      <c r="E27" s="31"/>
      <c r="F27" s="32"/>
      <c r="G27" s="31"/>
      <c r="H27" s="32"/>
      <c r="I27" s="31"/>
      <c r="J27" s="32"/>
      <c r="K27" s="31"/>
      <c r="L27" s="32"/>
      <c r="M27" s="31"/>
      <c r="N27" s="32"/>
      <c r="P27" s="26"/>
      <c r="R27" s="31"/>
      <c r="S27" s="30"/>
    </row>
    <row r="28" spans="3:19">
      <c r="E28" s="31"/>
      <c r="F28" s="32"/>
      <c r="G28" s="31"/>
      <c r="H28" s="32"/>
      <c r="I28" s="31"/>
      <c r="J28" s="32"/>
      <c r="K28" s="31"/>
      <c r="L28" s="32"/>
      <c r="M28" s="31"/>
      <c r="N28" s="32"/>
      <c r="P28" s="26"/>
      <c r="R28" s="31"/>
      <c r="S28" s="30"/>
    </row>
    <row r="29" spans="3:19">
      <c r="E29" s="31"/>
      <c r="F29" s="32"/>
      <c r="G29" s="31"/>
      <c r="H29" s="32"/>
      <c r="I29" s="31"/>
      <c r="J29" s="32"/>
      <c r="K29" s="31"/>
      <c r="L29" s="32"/>
      <c r="M29" s="31"/>
      <c r="N29" s="32"/>
      <c r="P29" s="26"/>
      <c r="R29" s="31"/>
      <c r="S29" s="30"/>
    </row>
    <row r="30" spans="3:19">
      <c r="E30" s="31"/>
      <c r="F30" s="32"/>
      <c r="G30" s="31"/>
      <c r="H30" s="32"/>
      <c r="I30" s="31"/>
      <c r="J30" s="32"/>
      <c r="K30" s="31"/>
      <c r="L30" s="32"/>
      <c r="M30" s="31"/>
      <c r="N30" s="32"/>
      <c r="P30" s="26"/>
      <c r="R30" s="31"/>
      <c r="S30" s="30"/>
    </row>
    <row r="31" spans="3:19">
      <c r="E31" s="31"/>
      <c r="F31" s="32"/>
      <c r="G31" s="31"/>
      <c r="H31" s="32"/>
      <c r="I31" s="31"/>
      <c r="J31" s="32"/>
      <c r="K31" s="31"/>
      <c r="L31" s="32"/>
      <c r="M31" s="31"/>
      <c r="N31" s="32"/>
      <c r="P31" s="26"/>
      <c r="R31" s="31"/>
      <c r="S31" s="30"/>
    </row>
    <row r="32" spans="3:19">
      <c r="E32" s="31"/>
      <c r="F32" s="32"/>
      <c r="G32" s="31"/>
      <c r="H32" s="32"/>
      <c r="I32" s="31"/>
      <c r="J32" s="32"/>
      <c r="K32" s="31"/>
      <c r="L32" s="32"/>
      <c r="M32" s="31"/>
      <c r="N32" s="32"/>
      <c r="P32" s="26"/>
      <c r="R32" s="31"/>
      <c r="S32" s="30"/>
    </row>
    <row r="33" spans="5:19">
      <c r="E33" s="31"/>
      <c r="F33" s="32"/>
      <c r="G33" s="31"/>
      <c r="H33" s="32"/>
      <c r="I33" s="31"/>
      <c r="J33" s="32"/>
      <c r="K33" s="31"/>
      <c r="L33" s="32"/>
      <c r="M33" s="31"/>
      <c r="N33" s="32"/>
      <c r="P33" s="26"/>
      <c r="R33" s="31"/>
      <c r="S33" s="30"/>
    </row>
    <row r="34" spans="5:19">
      <c r="E34" s="31"/>
      <c r="F34" s="32"/>
      <c r="G34" s="31"/>
      <c r="H34" s="32"/>
      <c r="I34" s="31"/>
      <c r="J34" s="32"/>
      <c r="K34" s="31"/>
      <c r="L34" s="32"/>
      <c r="M34" s="31"/>
      <c r="N34" s="32"/>
      <c r="P34" s="26"/>
      <c r="R34" s="31"/>
      <c r="S34" s="30"/>
    </row>
    <row r="35" spans="5:19">
      <c r="E35" s="31"/>
      <c r="F35" s="32"/>
      <c r="G35" s="31"/>
      <c r="H35" s="32"/>
      <c r="I35" s="31"/>
      <c r="J35" s="32"/>
      <c r="K35" s="31"/>
      <c r="L35" s="32"/>
      <c r="M35" s="31"/>
      <c r="N35" s="32"/>
      <c r="P35" s="26"/>
      <c r="R35" s="31"/>
      <c r="S35" s="30"/>
    </row>
    <row r="36" spans="5:19">
      <c r="E36" s="31"/>
      <c r="F36" s="32"/>
      <c r="G36" s="31"/>
      <c r="H36" s="32"/>
      <c r="I36" s="31"/>
      <c r="J36" s="32"/>
      <c r="K36" s="31"/>
      <c r="L36" s="32"/>
      <c r="M36" s="31"/>
      <c r="N36" s="32"/>
      <c r="P36" s="26"/>
      <c r="R36" s="31"/>
      <c r="S36" s="30"/>
    </row>
    <row r="37" spans="5:19">
      <c r="E37" s="31"/>
      <c r="F37" s="32"/>
      <c r="G37" s="31"/>
      <c r="H37" s="32"/>
      <c r="I37" s="31"/>
      <c r="J37" s="32"/>
      <c r="K37" s="31"/>
      <c r="L37" s="32"/>
      <c r="M37" s="31"/>
      <c r="N37" s="32"/>
      <c r="P37" s="26"/>
      <c r="R37" s="31"/>
      <c r="S37" s="30"/>
    </row>
    <row r="38" spans="5:19">
      <c r="E38" s="31"/>
      <c r="F38" s="32"/>
      <c r="G38" s="31"/>
      <c r="H38" s="32"/>
      <c r="I38" s="31"/>
      <c r="J38" s="32"/>
      <c r="K38" s="31"/>
      <c r="L38" s="32"/>
      <c r="M38" s="31"/>
      <c r="N38" s="32"/>
      <c r="P38" s="26"/>
      <c r="R38" s="31"/>
      <c r="S38" s="30"/>
    </row>
    <row r="39" spans="5:19">
      <c r="E39" s="31"/>
      <c r="F39" s="32"/>
      <c r="G39" s="31"/>
      <c r="H39" s="32"/>
      <c r="I39" s="31"/>
      <c r="J39" s="32"/>
      <c r="K39" s="31"/>
      <c r="L39" s="32"/>
      <c r="M39" s="31"/>
      <c r="N39" s="32"/>
      <c r="P39" s="26"/>
      <c r="R39" s="31"/>
      <c r="S39" s="30"/>
    </row>
    <row r="40" spans="5:19">
      <c r="E40" s="31"/>
      <c r="F40" s="32"/>
      <c r="G40" s="31"/>
      <c r="H40" s="32"/>
      <c r="I40" s="31"/>
      <c r="J40" s="32"/>
      <c r="K40" s="31"/>
      <c r="L40" s="32"/>
      <c r="M40" s="31"/>
      <c r="N40" s="32"/>
      <c r="P40" s="26"/>
      <c r="R40" s="31"/>
      <c r="S40" s="30"/>
    </row>
    <row r="41" spans="5:19">
      <c r="E41" s="31"/>
      <c r="F41" s="32"/>
      <c r="G41" s="31"/>
      <c r="H41" s="32"/>
      <c r="I41" s="31"/>
      <c r="J41" s="32"/>
      <c r="K41" s="31"/>
      <c r="L41" s="32"/>
      <c r="M41" s="31"/>
      <c r="N41" s="32"/>
      <c r="P41" s="26"/>
      <c r="R41" s="31"/>
      <c r="S41" s="30"/>
    </row>
  </sheetData>
  <mergeCells count="5">
    <mergeCell ref="M4:N4"/>
    <mergeCell ref="E4:F4"/>
    <mergeCell ref="G4:H4"/>
    <mergeCell ref="I4:J4"/>
    <mergeCell ref="K4:L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rgb="FFFF0000"/>
    <pageSetUpPr fitToPage="1"/>
  </sheetPr>
  <dimension ref="C2:S41"/>
  <sheetViews>
    <sheetView zoomScale="80" zoomScaleNormal="80" workbookViewId="0">
      <selection activeCell="A45" sqref="A45:Q109"/>
    </sheetView>
  </sheetViews>
  <sheetFormatPr defaultColWidth="9.1796875" defaultRowHeight="12.5"/>
  <cols>
    <col min="1" max="2" width="2.54296875" style="23" customWidth="1"/>
    <col min="3" max="3" width="27.453125" style="23" bestFit="1" customWidth="1"/>
    <col min="4" max="4" width="1.54296875" style="23" customWidth="1"/>
    <col min="5" max="5" width="12.453125" style="23" customWidth="1"/>
    <col min="6" max="14" width="9.1796875" style="23"/>
    <col min="15" max="15" width="1.54296875" style="23" customWidth="1"/>
    <col min="16" max="16" width="12" style="23" bestFit="1" customWidth="1"/>
    <col min="17" max="17" width="1.54296875" style="23" customWidth="1"/>
    <col min="18" max="16384" width="9.1796875" style="23"/>
  </cols>
  <sheetData>
    <row r="2" spans="3:19">
      <c r="E2" s="24" t="s">
        <v>218</v>
      </c>
    </row>
    <row r="4" spans="3:19" ht="45" customHeight="1">
      <c r="E4" s="592" t="s">
        <v>185</v>
      </c>
      <c r="F4" s="592"/>
      <c r="G4" s="592" t="s">
        <v>186</v>
      </c>
      <c r="H4" s="592"/>
      <c r="I4" s="592" t="s">
        <v>187</v>
      </c>
      <c r="J4" s="592"/>
      <c r="K4" s="592" t="s">
        <v>188</v>
      </c>
      <c r="L4" s="592"/>
      <c r="M4" s="592" t="s">
        <v>189</v>
      </c>
      <c r="N4" s="592"/>
      <c r="O4" s="33"/>
      <c r="P4" s="33" t="s">
        <v>205</v>
      </c>
      <c r="Q4" s="33"/>
      <c r="R4" s="33" t="s">
        <v>190</v>
      </c>
      <c r="S4" s="33" t="s">
        <v>131</v>
      </c>
    </row>
    <row r="5" spans="3:19">
      <c r="C5" s="23" t="s">
        <v>155</v>
      </c>
      <c r="E5" s="28">
        <v>0.17499999999999999</v>
      </c>
      <c r="F5" s="25">
        <v>0.45043039972933113</v>
      </c>
      <c r="G5" s="28">
        <v>0.02</v>
      </c>
      <c r="H5" s="25">
        <v>5.1477759969066422E-2</v>
      </c>
      <c r="I5" s="28">
        <v>0.01</v>
      </c>
      <c r="J5" s="25">
        <v>2.5738879984533211E-2</v>
      </c>
      <c r="K5" s="28">
        <v>0.114</v>
      </c>
      <c r="L5" s="25">
        <v>0.29342323182367858</v>
      </c>
      <c r="M5" s="28">
        <v>0.105</v>
      </c>
      <c r="N5" s="25">
        <v>0.27025823983759867</v>
      </c>
      <c r="P5" s="26">
        <f>+F5+H5+J5+L5+N5</f>
        <v>1.0913285113442079</v>
      </c>
      <c r="R5" s="28">
        <v>3.2082352941176472E-2</v>
      </c>
      <c r="S5" s="27">
        <v>8.95079835998355E-2</v>
      </c>
    </row>
    <row r="6" spans="3:19">
      <c r="C6" s="23" t="s">
        <v>156</v>
      </c>
      <c r="E6" s="28">
        <v>0.17499999999999999</v>
      </c>
      <c r="F6" s="25">
        <v>0.22524838569527569</v>
      </c>
      <c r="G6" s="28">
        <v>0.02</v>
      </c>
      <c r="H6" s="25">
        <v>2.5742672650888657E-2</v>
      </c>
      <c r="I6" s="28">
        <v>0.01</v>
      </c>
      <c r="J6" s="25">
        <v>1.2871336325444328E-2</v>
      </c>
      <c r="K6" s="28">
        <v>0.114</v>
      </c>
      <c r="L6" s="25">
        <v>0.14673323411006534</v>
      </c>
      <c r="M6" s="28">
        <v>0.105</v>
      </c>
      <c r="N6" s="25">
        <v>0.13514903141716544</v>
      </c>
      <c r="P6" s="26">
        <f t="shared" ref="P6:P41" si="0">+F6+H6+J6+L6+N6</f>
        <v>0.54574466019883949</v>
      </c>
      <c r="R6" s="28">
        <v>1.1237647058823529E-2</v>
      </c>
      <c r="S6" s="27">
        <v>2.5175710697583113E-2</v>
      </c>
    </row>
    <row r="7" spans="3:19">
      <c r="C7" s="23" t="s">
        <v>157</v>
      </c>
      <c r="E7" s="28">
        <v>0.17499999999999999</v>
      </c>
      <c r="F7" s="25">
        <v>0.72904001622272507</v>
      </c>
      <c r="G7" s="28">
        <v>0.02</v>
      </c>
      <c r="H7" s="25">
        <v>8.3318858996882877E-2</v>
      </c>
      <c r="I7" s="28">
        <v>0.01</v>
      </c>
      <c r="J7" s="25">
        <v>4.1659429498441439E-2</v>
      </c>
      <c r="K7" s="28">
        <v>0.114</v>
      </c>
      <c r="L7" s="25">
        <v>0.4749174962822324</v>
      </c>
      <c r="M7" s="28">
        <v>0.105</v>
      </c>
      <c r="N7" s="25">
        <v>0.43742400973363504</v>
      </c>
      <c r="P7" s="26">
        <f t="shared" si="0"/>
        <v>1.7663598107339169</v>
      </c>
      <c r="R7" s="28">
        <v>9.8588235294117636E-3</v>
      </c>
      <c r="S7" s="27">
        <v>0.15283905770543557</v>
      </c>
    </row>
    <row r="8" spans="3:19">
      <c r="C8" s="23" t="s">
        <v>158</v>
      </c>
      <c r="E8" s="28">
        <v>0.17499999999999999</v>
      </c>
      <c r="F8" s="25">
        <v>0.20223747919401935</v>
      </c>
      <c r="G8" s="28">
        <v>0.02</v>
      </c>
      <c r="H8" s="25">
        <v>2.3112854765030787E-2</v>
      </c>
      <c r="I8" s="28">
        <v>0.01</v>
      </c>
      <c r="J8" s="25">
        <v>1.1556427382515394E-2</v>
      </c>
      <c r="K8" s="28">
        <v>0.114</v>
      </c>
      <c r="L8" s="25">
        <v>0.1317432721606755</v>
      </c>
      <c r="M8" s="28">
        <v>0.105</v>
      </c>
      <c r="N8" s="25">
        <v>0.12134248751641162</v>
      </c>
      <c r="P8" s="26">
        <f t="shared" si="0"/>
        <v>0.48999252101865265</v>
      </c>
      <c r="R8" s="28">
        <v>1.1144705882352942E-2</v>
      </c>
      <c r="S8" s="27">
        <v>3.7057902952698715E-2</v>
      </c>
    </row>
    <row r="9" spans="3:19">
      <c r="C9" s="23" t="s">
        <v>159</v>
      </c>
      <c r="E9" s="28">
        <v>0.22500000000000001</v>
      </c>
      <c r="F9" s="25">
        <v>1.0828819948632671</v>
      </c>
      <c r="G9" s="28">
        <v>0.05</v>
      </c>
      <c r="H9" s="25">
        <v>0.24064044330294829</v>
      </c>
      <c r="I9" s="28">
        <v>6.0000000000000001E-3</v>
      </c>
      <c r="J9" s="25">
        <v>2.8876853196353795E-2</v>
      </c>
      <c r="K9" s="28">
        <v>0</v>
      </c>
      <c r="L9" s="25">
        <v>0</v>
      </c>
      <c r="M9" s="28">
        <v>7.3999999999999996E-2</v>
      </c>
      <c r="N9" s="25">
        <v>0.35614785608836341</v>
      </c>
      <c r="P9" s="26">
        <f t="shared" si="0"/>
        <v>1.7085471474509326</v>
      </c>
      <c r="R9" s="28">
        <v>4.1131764705882354E-2</v>
      </c>
      <c r="S9" s="27">
        <v>0.32584636307650139</v>
      </c>
    </row>
    <row r="10" spans="3:19">
      <c r="C10" s="23" t="s">
        <v>160</v>
      </c>
      <c r="E10" s="28">
        <v>0.22500000000000001</v>
      </c>
      <c r="F10" s="25">
        <v>0.48467876118433961</v>
      </c>
      <c r="G10" s="28">
        <v>0.05</v>
      </c>
      <c r="H10" s="25">
        <v>0.10770639137429769</v>
      </c>
      <c r="I10" s="28">
        <v>6.0000000000000001E-3</v>
      </c>
      <c r="J10" s="25">
        <v>1.2924766964915723E-2</v>
      </c>
      <c r="K10" s="28">
        <v>0</v>
      </c>
      <c r="L10" s="25">
        <v>0</v>
      </c>
      <c r="M10" s="28">
        <v>7.3999999999999996E-2</v>
      </c>
      <c r="N10" s="25">
        <v>0.15940545923396057</v>
      </c>
      <c r="P10" s="26">
        <f t="shared" si="0"/>
        <v>0.76471537875751361</v>
      </c>
      <c r="R10" s="28">
        <v>6.1792941176470592E-2</v>
      </c>
      <c r="S10" s="27">
        <v>0.15613310451461868</v>
      </c>
    </row>
    <row r="11" spans="3:19">
      <c r="C11" s="23" t="s">
        <v>161</v>
      </c>
      <c r="E11" s="28">
        <v>0.16669999999999999</v>
      </c>
      <c r="F11" s="25">
        <v>0.41845891830233012</v>
      </c>
      <c r="G11" s="28">
        <v>1.8200000000000001E-2</v>
      </c>
      <c r="H11" s="25">
        <v>4.5686576563301794E-2</v>
      </c>
      <c r="I11" s="28">
        <v>1.37E-2</v>
      </c>
      <c r="J11" s="25">
        <v>3.4390444995452449E-2</v>
      </c>
      <c r="K11" s="28">
        <v>0</v>
      </c>
      <c r="L11" s="25">
        <v>0</v>
      </c>
      <c r="M11" s="28">
        <v>9.5600000000000004E-2</v>
      </c>
      <c r="N11" s="25">
        <v>0.23998003953031052</v>
      </c>
      <c r="P11" s="26">
        <f t="shared" si="0"/>
        <v>0.73851597939139491</v>
      </c>
      <c r="R11" s="28">
        <v>5.0876470588235294E-2</v>
      </c>
      <c r="S11" s="27">
        <v>8.534162094695083E-2</v>
      </c>
    </row>
    <row r="12" spans="3:19">
      <c r="C12" s="23" t="s">
        <v>162</v>
      </c>
      <c r="E12" s="28">
        <v>0.08</v>
      </c>
      <c r="F12" s="25">
        <v>6.0540414040110721E-2</v>
      </c>
      <c r="G12" s="28">
        <v>0.05</v>
      </c>
      <c r="H12" s="25">
        <v>3.7837758775069209E-2</v>
      </c>
      <c r="I12" s="28">
        <v>0.04</v>
      </c>
      <c r="J12" s="25">
        <v>3.0270207020055361E-2</v>
      </c>
      <c r="K12" s="28">
        <v>0</v>
      </c>
      <c r="L12" s="25">
        <v>0</v>
      </c>
      <c r="M12" s="28">
        <v>0.06</v>
      </c>
      <c r="N12" s="25">
        <v>4.5405310530083044E-2</v>
      </c>
      <c r="P12" s="26">
        <f t="shared" si="0"/>
        <v>0.17405369036531834</v>
      </c>
      <c r="R12" s="28">
        <v>0</v>
      </c>
      <c r="S12" s="27">
        <v>0</v>
      </c>
    </row>
    <row r="13" spans="3:19">
      <c r="C13" s="23" t="s">
        <v>163</v>
      </c>
      <c r="E13" s="28">
        <v>0.16669999999999999</v>
      </c>
      <c r="F13" s="25">
        <v>0.60962402806260696</v>
      </c>
      <c r="G13" s="28">
        <v>0</v>
      </c>
      <c r="H13" s="25">
        <v>0</v>
      </c>
      <c r="I13" s="28">
        <v>6.6199999999999995E-2</v>
      </c>
      <c r="J13" s="25">
        <v>0.24209424509744798</v>
      </c>
      <c r="K13" s="28">
        <v>0</v>
      </c>
      <c r="L13" s="25">
        <v>0</v>
      </c>
      <c r="M13" s="28">
        <v>1.4999999999999999E-2</v>
      </c>
      <c r="N13" s="25">
        <v>5.4855191487337154E-2</v>
      </c>
      <c r="P13" s="26">
        <f t="shared" si="0"/>
        <v>0.90657346464739219</v>
      </c>
      <c r="R13" s="28">
        <v>3.3778823529411764E-2</v>
      </c>
      <c r="S13" s="27">
        <v>0.13492540398559702</v>
      </c>
    </row>
    <row r="14" spans="3:19">
      <c r="C14" s="23" t="s">
        <v>164</v>
      </c>
      <c r="E14" s="28">
        <v>0.16669999999999999</v>
      </c>
      <c r="F14" s="25">
        <v>0.2076466107714717</v>
      </c>
      <c r="G14" s="28">
        <v>0</v>
      </c>
      <c r="H14" s="25">
        <v>0</v>
      </c>
      <c r="I14" s="28">
        <v>9.5200000000000007E-2</v>
      </c>
      <c r="J14" s="25">
        <v>0.11858402726721121</v>
      </c>
      <c r="K14" s="28">
        <v>0</v>
      </c>
      <c r="L14" s="25">
        <v>0</v>
      </c>
      <c r="M14" s="28">
        <v>4.7600000000000003E-2</v>
      </c>
      <c r="N14" s="25">
        <v>5.9292013633605603E-2</v>
      </c>
      <c r="P14" s="26">
        <f t="shared" si="0"/>
        <v>0.3855226516722885</v>
      </c>
      <c r="R14" s="28">
        <v>1.7755294117647057E-2</v>
      </c>
      <c r="S14" s="27">
        <v>9.2192764316559553E-2</v>
      </c>
    </row>
    <row r="15" spans="3:19">
      <c r="C15" s="23" t="s">
        <v>0</v>
      </c>
      <c r="E15" s="28">
        <v>0.16669999999999999</v>
      </c>
      <c r="F15" s="25">
        <v>0.65486723203042729</v>
      </c>
      <c r="G15" s="28">
        <v>1.29E-2</v>
      </c>
      <c r="H15" s="25">
        <v>5.0676588441466781E-2</v>
      </c>
      <c r="I15" s="28">
        <v>0.01</v>
      </c>
      <c r="J15" s="25">
        <v>3.9284177086408356E-2</v>
      </c>
      <c r="K15" s="28">
        <v>0</v>
      </c>
      <c r="L15" s="25">
        <v>0</v>
      </c>
      <c r="M15" s="28">
        <v>8.900000000000001E-2</v>
      </c>
      <c r="N15" s="25">
        <v>0.34962917606903443</v>
      </c>
      <c r="P15" s="26">
        <f t="shared" si="0"/>
        <v>1.094457173627337</v>
      </c>
      <c r="R15" s="28">
        <v>2.0488235294117647E-2</v>
      </c>
      <c r="S15" s="27">
        <v>7.0872650884864871E-2</v>
      </c>
    </row>
    <row r="16" spans="3:19">
      <c r="C16" s="23" t="s">
        <v>165</v>
      </c>
      <c r="E16" s="28">
        <v>0.17499999999999999</v>
      </c>
      <c r="F16" s="25">
        <v>0</v>
      </c>
      <c r="G16" s="28">
        <v>0.02</v>
      </c>
      <c r="H16" s="25">
        <v>0</v>
      </c>
      <c r="I16" s="28">
        <v>0.01</v>
      </c>
      <c r="J16" s="25">
        <v>0</v>
      </c>
      <c r="K16" s="28">
        <v>0.114</v>
      </c>
      <c r="L16" s="25">
        <v>0</v>
      </c>
      <c r="M16" s="28">
        <v>0.105</v>
      </c>
      <c r="N16" s="25">
        <v>0</v>
      </c>
      <c r="P16" s="26">
        <f t="shared" si="0"/>
        <v>0</v>
      </c>
      <c r="R16" s="28">
        <v>8.4988235294117653E-3</v>
      </c>
      <c r="S16" s="27">
        <v>0.89718280119912019</v>
      </c>
    </row>
    <row r="17" spans="3:19">
      <c r="C17" s="23" t="s">
        <v>166</v>
      </c>
      <c r="E17" s="28">
        <v>0.16669999999999999</v>
      </c>
      <c r="F17" s="25">
        <v>0.26406747605364728</v>
      </c>
      <c r="G17" s="28">
        <v>8.1299999999999997E-2</v>
      </c>
      <c r="H17" s="25">
        <v>0.12878635754745965</v>
      </c>
      <c r="I17" s="28">
        <v>6.25E-2</v>
      </c>
      <c r="J17" s="25">
        <v>9.9005502419633809E-2</v>
      </c>
      <c r="K17" s="28">
        <v>0</v>
      </c>
      <c r="L17" s="25">
        <v>0</v>
      </c>
      <c r="M17" s="28">
        <v>0.105</v>
      </c>
      <c r="N17" s="25">
        <v>0.16632924406498478</v>
      </c>
      <c r="P17" s="26">
        <f t="shared" si="0"/>
        <v>0.65818858008572545</v>
      </c>
      <c r="R17" s="28">
        <v>7.0835294117647055E-3</v>
      </c>
      <c r="S17" s="27">
        <v>4.7562491648975032E-2</v>
      </c>
    </row>
    <row r="18" spans="3:19">
      <c r="C18" s="23" t="s">
        <v>167</v>
      </c>
      <c r="E18" s="28">
        <v>0.23330000000000001</v>
      </c>
      <c r="F18" s="25">
        <v>0.85127636566814002</v>
      </c>
      <c r="G18" s="28">
        <v>7.6700000000000004E-2</v>
      </c>
      <c r="H18" s="25">
        <v>0.27986668344083304</v>
      </c>
      <c r="I18" s="28">
        <v>3.3300000000000003E-2</v>
      </c>
      <c r="J18" s="25">
        <v>0.1215066565655768</v>
      </c>
      <c r="K18" s="28">
        <v>0.04</v>
      </c>
      <c r="L18" s="25">
        <v>0.14595394182051263</v>
      </c>
      <c r="M18" s="28">
        <v>0.16250000000000001</v>
      </c>
      <c r="N18" s="25">
        <v>0.59293788864583263</v>
      </c>
      <c r="P18" s="26">
        <f t="shared" si="0"/>
        <v>1.991541536140895</v>
      </c>
      <c r="R18" s="28">
        <v>2.2860000000000002E-2</v>
      </c>
      <c r="S18" s="27">
        <v>0.20454991133607028</v>
      </c>
    </row>
    <row r="19" spans="3:19">
      <c r="C19" s="23" t="s">
        <v>168</v>
      </c>
      <c r="E19" s="28">
        <v>0.16669999999999999</v>
      </c>
      <c r="F19" s="25">
        <v>0.50578631378730443</v>
      </c>
      <c r="G19" s="28">
        <v>6.0999999999999999E-2</v>
      </c>
      <c r="H19" s="25">
        <v>0.18508077469121517</v>
      </c>
      <c r="I19" s="28">
        <v>4.9200000000000001E-2</v>
      </c>
      <c r="J19" s="25">
        <v>0.14927826417717685</v>
      </c>
      <c r="K19" s="28">
        <v>0</v>
      </c>
      <c r="L19" s="25">
        <v>0</v>
      </c>
      <c r="M19" s="28">
        <v>8.4699999999999998E-2</v>
      </c>
      <c r="N19" s="25">
        <v>0.25698920682534304</v>
      </c>
      <c r="P19" s="26">
        <f t="shared" si="0"/>
        <v>1.0971345594810396</v>
      </c>
      <c r="R19" s="28">
        <v>1.3845882352941177E-2</v>
      </c>
      <c r="S19" s="27">
        <v>0.18341040897951441</v>
      </c>
    </row>
    <row r="20" spans="3:19">
      <c r="C20" s="23" t="s">
        <v>169</v>
      </c>
      <c r="E20" s="28">
        <v>0.16669999999999999</v>
      </c>
      <c r="F20" s="25">
        <v>0.5538569722868637</v>
      </c>
      <c r="G20" s="28">
        <v>6.3899999999999998E-2</v>
      </c>
      <c r="H20" s="25">
        <v>0.21230630191440067</v>
      </c>
      <c r="I20" s="28">
        <v>8.8099999999999998E-2</v>
      </c>
      <c r="J20" s="25">
        <v>0.29271025350013613</v>
      </c>
      <c r="K20" s="28">
        <v>0</v>
      </c>
      <c r="L20" s="25">
        <v>0</v>
      </c>
      <c r="M20" s="28">
        <v>0.1416</v>
      </c>
      <c r="N20" s="25">
        <v>0.47046279109670014</v>
      </c>
      <c r="P20" s="26">
        <f t="shared" si="0"/>
        <v>1.5293363187981006</v>
      </c>
      <c r="R20" s="28">
        <v>3.018470588235294E-2</v>
      </c>
      <c r="S20" s="27">
        <v>0.14606280839799182</v>
      </c>
    </row>
    <row r="21" spans="3:19">
      <c r="C21" s="23" t="s">
        <v>195</v>
      </c>
      <c r="E21" s="28">
        <v>0</v>
      </c>
      <c r="F21" s="25">
        <v>0</v>
      </c>
      <c r="G21" s="28">
        <v>0</v>
      </c>
      <c r="H21" s="25">
        <v>0</v>
      </c>
      <c r="I21" s="28">
        <v>0</v>
      </c>
      <c r="J21" s="25">
        <v>1.2748722698923933</v>
      </c>
      <c r="K21" s="28">
        <v>0</v>
      </c>
      <c r="L21" s="25">
        <v>0</v>
      </c>
      <c r="M21" s="28">
        <v>0</v>
      </c>
      <c r="N21" s="25">
        <v>0</v>
      </c>
      <c r="P21" s="26">
        <f t="shared" si="0"/>
        <v>1.2748722698923933</v>
      </c>
      <c r="R21" s="28">
        <v>3.018470588235294E-2</v>
      </c>
      <c r="S21" s="27">
        <v>0.14606280839799182</v>
      </c>
    </row>
    <row r="22" spans="3:19">
      <c r="C22" s="23" t="s">
        <v>170</v>
      </c>
      <c r="E22" s="28">
        <v>0.16669999999999999</v>
      </c>
      <c r="F22" s="25">
        <v>0.40159787990898965</v>
      </c>
      <c r="G22" s="28">
        <v>6.2899999999999998E-2</v>
      </c>
      <c r="H22" s="25">
        <v>0.15153273333098652</v>
      </c>
      <c r="I22" s="28">
        <v>5.3199999999999997E-2</v>
      </c>
      <c r="J22" s="25">
        <v>0.12816441038487253</v>
      </c>
      <c r="K22" s="28">
        <v>0</v>
      </c>
      <c r="L22" s="25">
        <v>0</v>
      </c>
      <c r="M22" s="28">
        <v>0.1368</v>
      </c>
      <c r="N22" s="25">
        <v>0.32956562670395795</v>
      </c>
      <c r="P22" s="26">
        <f t="shared" si="0"/>
        <v>1.0108606503288067</v>
      </c>
      <c r="R22" s="28">
        <v>5.6284705882352945E-2</v>
      </c>
      <c r="S22" s="27">
        <v>0.12869836067920909</v>
      </c>
    </row>
    <row r="23" spans="3:19">
      <c r="C23" s="23" t="s">
        <v>196</v>
      </c>
      <c r="E23" s="28">
        <v>0.16669999999999999</v>
      </c>
      <c r="F23" s="25">
        <v>0.82822995235305363</v>
      </c>
      <c r="G23" s="28">
        <v>6.2899999999999998E-2</v>
      </c>
      <c r="H23" s="25">
        <v>0.31251148172169813</v>
      </c>
      <c r="I23" s="28">
        <v>5.3199999999999997E-2</v>
      </c>
      <c r="J23" s="25">
        <v>0.26431813716366198</v>
      </c>
      <c r="K23" s="28">
        <v>0</v>
      </c>
      <c r="L23" s="25">
        <v>0</v>
      </c>
      <c r="M23" s="28">
        <v>0.1368</v>
      </c>
      <c r="N23" s="25">
        <v>0.67967520984941665</v>
      </c>
      <c r="P23" s="26">
        <f t="shared" si="0"/>
        <v>2.0847347810878305</v>
      </c>
      <c r="R23" s="28">
        <v>5.6284705882352945E-2</v>
      </c>
      <c r="S23" s="27">
        <v>0.12869836067920909</v>
      </c>
    </row>
    <row r="24" spans="3:19">
      <c r="C24" s="23" t="s">
        <v>197</v>
      </c>
      <c r="E24" s="28">
        <v>0.16669999999999999</v>
      </c>
      <c r="F24" s="25">
        <v>0.24947360717138631</v>
      </c>
      <c r="G24" s="28">
        <v>6.2899999999999998E-2</v>
      </c>
      <c r="H24" s="25">
        <v>9.4132512843912414E-2</v>
      </c>
      <c r="I24" s="28">
        <v>5.3199999999999997E-2</v>
      </c>
      <c r="J24" s="25">
        <v>7.961605219866677E-2</v>
      </c>
      <c r="K24" s="28">
        <v>0</v>
      </c>
      <c r="L24" s="25">
        <v>0</v>
      </c>
      <c r="M24" s="28">
        <v>0.1368</v>
      </c>
      <c r="N24" s="25">
        <v>0.20472699136800032</v>
      </c>
      <c r="P24" s="26">
        <f t="shared" si="0"/>
        <v>0.62794916358196584</v>
      </c>
      <c r="R24" s="28">
        <v>5.6284705882352945E-2</v>
      </c>
      <c r="S24" s="27">
        <v>0.12869836067920909</v>
      </c>
    </row>
    <row r="25" spans="3:19">
      <c r="C25" s="23" t="s">
        <v>198</v>
      </c>
      <c r="E25" s="28">
        <v>0.16669999999999999</v>
      </c>
      <c r="F25" s="25">
        <v>0.58198557856109112</v>
      </c>
      <c r="G25" s="28">
        <v>6.2899999999999998E-2</v>
      </c>
      <c r="H25" s="25">
        <v>0.2195974378613835</v>
      </c>
      <c r="I25" s="28">
        <v>5.3199999999999997E-2</v>
      </c>
      <c r="J25" s="25">
        <v>0.18573265014667095</v>
      </c>
      <c r="K25" s="28">
        <v>0</v>
      </c>
      <c r="L25" s="25">
        <v>0</v>
      </c>
      <c r="M25" s="28">
        <v>0.1368</v>
      </c>
      <c r="N25" s="25">
        <v>0.47759824323429673</v>
      </c>
      <c r="P25" s="26">
        <f t="shared" si="0"/>
        <v>1.4649139098034423</v>
      </c>
      <c r="R25" s="28">
        <v>5.6284705882352945E-2</v>
      </c>
      <c r="S25" s="27">
        <v>0.12869836067920909</v>
      </c>
    </row>
    <row r="26" spans="3:19">
      <c r="C26" s="23" t="s">
        <v>199</v>
      </c>
      <c r="E26" s="28">
        <v>0.16669999999999999</v>
      </c>
      <c r="F26" s="25">
        <v>0.48800696966612755</v>
      </c>
      <c r="G26" s="28">
        <v>6.2899999999999998E-2</v>
      </c>
      <c r="H26" s="25">
        <v>0.18413700295140625</v>
      </c>
      <c r="I26" s="28">
        <v>5.3199999999999997E-2</v>
      </c>
      <c r="J26" s="25">
        <v>0.15574067658211149</v>
      </c>
      <c r="K26" s="28">
        <v>0</v>
      </c>
      <c r="L26" s="25">
        <v>0</v>
      </c>
      <c r="M26" s="28">
        <v>0.1368</v>
      </c>
      <c r="N26" s="25">
        <v>0.40047602549685812</v>
      </c>
      <c r="P26" s="26">
        <f t="shared" si="0"/>
        <v>1.2283606746965035</v>
      </c>
      <c r="R26" s="28">
        <v>5.6284705882352945E-2</v>
      </c>
      <c r="S26" s="27">
        <v>0.12869836067920909</v>
      </c>
    </row>
    <row r="27" spans="3:19">
      <c r="C27" s="23" t="s">
        <v>200</v>
      </c>
      <c r="E27" s="28">
        <v>0.16669999999999999</v>
      </c>
      <c r="F27" s="25">
        <v>0.43918956618172778</v>
      </c>
      <c r="G27" s="28">
        <v>6.2899999999999998E-2</v>
      </c>
      <c r="H27" s="25">
        <v>0.16571699887720862</v>
      </c>
      <c r="I27" s="28">
        <v>5.3199999999999997E-2</v>
      </c>
      <c r="J27" s="25">
        <v>0.14016127726975355</v>
      </c>
      <c r="K27" s="28">
        <v>0</v>
      </c>
      <c r="L27" s="25">
        <v>0</v>
      </c>
      <c r="M27" s="28">
        <v>0.1368</v>
      </c>
      <c r="N27" s="25">
        <v>0.36041471297936634</v>
      </c>
      <c r="P27" s="26">
        <f t="shared" si="0"/>
        <v>1.1054825553080563</v>
      </c>
      <c r="R27" s="28">
        <v>5.6284705882352945E-2</v>
      </c>
      <c r="S27" s="27">
        <v>0.12869836067920909</v>
      </c>
    </row>
    <row r="28" spans="3:19">
      <c r="C28" s="23" t="s">
        <v>171</v>
      </c>
      <c r="E28" s="28">
        <v>0.16669999999999999</v>
      </c>
      <c r="F28" s="25">
        <v>0.24612114462025714</v>
      </c>
      <c r="G28" s="28">
        <v>4.4400000000000002E-2</v>
      </c>
      <c r="H28" s="25">
        <v>6.5553562214393638E-2</v>
      </c>
      <c r="I28" s="28">
        <v>3.8899999999999997E-2</v>
      </c>
      <c r="J28" s="25">
        <v>5.7433188516664686E-2</v>
      </c>
      <c r="K28" s="28">
        <v>0</v>
      </c>
      <c r="L28" s="25">
        <v>0</v>
      </c>
      <c r="M28" s="28">
        <v>0.15</v>
      </c>
      <c r="N28" s="25">
        <v>0.22146473721078927</v>
      </c>
      <c r="P28" s="26">
        <f t="shared" si="0"/>
        <v>0.59057263256210468</v>
      </c>
      <c r="R28" s="28">
        <v>2.1067058823529411E-2</v>
      </c>
      <c r="S28" s="27">
        <v>0.12031169632383117</v>
      </c>
    </row>
    <row r="29" spans="3:19">
      <c r="C29" s="23" t="s">
        <v>172</v>
      </c>
      <c r="E29" s="28">
        <v>0.16669999999999999</v>
      </c>
      <c r="F29" s="25">
        <v>1.5623323174165129</v>
      </c>
      <c r="G29" s="28">
        <v>0</v>
      </c>
      <c r="H29" s="25">
        <v>0</v>
      </c>
      <c r="I29" s="28">
        <v>3.6400000000000002E-2</v>
      </c>
      <c r="J29" s="25">
        <v>0.34114514909394761</v>
      </c>
      <c r="K29" s="28">
        <v>0</v>
      </c>
      <c r="L29" s="25">
        <v>0</v>
      </c>
      <c r="M29" s="28">
        <v>0.1273</v>
      </c>
      <c r="N29" s="25">
        <v>1.1930708098807565</v>
      </c>
      <c r="P29" s="26">
        <f t="shared" si="0"/>
        <v>3.0965482763912169</v>
      </c>
      <c r="R29" s="28">
        <v>2.8470588235294119E-2</v>
      </c>
      <c r="S29" s="27">
        <v>0.87290432715693833</v>
      </c>
    </row>
    <row r="30" spans="3:19">
      <c r="C30" s="23" t="s">
        <v>173</v>
      </c>
      <c r="E30" s="28">
        <v>0.16669999999999999</v>
      </c>
      <c r="F30" s="25">
        <v>0.49089210526175586</v>
      </c>
      <c r="G30" s="28">
        <v>3.95E-2</v>
      </c>
      <c r="H30" s="25">
        <v>0.11631816531397335</v>
      </c>
      <c r="I30" s="28">
        <v>0.2737</v>
      </c>
      <c r="J30" s="25">
        <v>0.8059818188970761</v>
      </c>
      <c r="K30" s="28">
        <v>0</v>
      </c>
      <c r="L30" s="25">
        <v>0</v>
      </c>
      <c r="M30" s="28">
        <v>0.13159999999999999</v>
      </c>
      <c r="N30" s="25">
        <v>0.38753090013465546</v>
      </c>
      <c r="P30" s="26">
        <f t="shared" si="0"/>
        <v>1.8007229896074606</v>
      </c>
      <c r="R30" s="28">
        <v>1.4478823529411766E-2</v>
      </c>
      <c r="S30" s="27">
        <v>0.18525584069635342</v>
      </c>
    </row>
    <row r="31" spans="3:19">
      <c r="C31" s="23" t="s">
        <v>174</v>
      </c>
      <c r="E31" s="28">
        <v>0.16669999999999999</v>
      </c>
      <c r="F31" s="25">
        <v>0.16119631153732006</v>
      </c>
      <c r="G31" s="28">
        <v>3.0800000000000001E-2</v>
      </c>
      <c r="H31" s="25">
        <v>2.97831217477472E-2</v>
      </c>
      <c r="I31" s="28">
        <v>8.8800000000000004E-2</v>
      </c>
      <c r="J31" s="25">
        <v>8.5868221142855569E-2</v>
      </c>
      <c r="K31" s="28">
        <v>0</v>
      </c>
      <c r="L31" s="25">
        <v>0</v>
      </c>
      <c r="M31" s="28">
        <v>3.5299999999999998E-2</v>
      </c>
      <c r="N31" s="25">
        <v>3.4134551873229745E-2</v>
      </c>
      <c r="P31" s="26">
        <f t="shared" si="0"/>
        <v>0.31098220630115253</v>
      </c>
      <c r="R31" s="28">
        <v>2.256E-2</v>
      </c>
      <c r="S31" s="27">
        <v>3.2245421278519093E-2</v>
      </c>
    </row>
    <row r="32" spans="3:19">
      <c r="C32" s="23" t="s">
        <v>175</v>
      </c>
      <c r="E32" s="28">
        <v>0.16669999999999999</v>
      </c>
      <c r="F32" s="25">
        <v>0.41110859351965856</v>
      </c>
      <c r="G32" s="28">
        <v>4.07E-2</v>
      </c>
      <c r="H32" s="25">
        <v>0.10037264400869889</v>
      </c>
      <c r="I32" s="28">
        <v>5.6899999999999999E-2</v>
      </c>
      <c r="J32" s="25">
        <v>0.14032440894582227</v>
      </c>
      <c r="K32" s="28">
        <v>0</v>
      </c>
      <c r="L32" s="25">
        <v>0</v>
      </c>
      <c r="M32" s="28">
        <v>0.13819999999999999</v>
      </c>
      <c r="N32" s="25">
        <v>0.34082308113027482</v>
      </c>
      <c r="P32" s="26">
        <f t="shared" si="0"/>
        <v>0.99262872760445453</v>
      </c>
      <c r="R32" s="28">
        <v>1.374E-2</v>
      </c>
      <c r="S32" s="27">
        <v>9.1454122523132064E-2</v>
      </c>
    </row>
    <row r="33" spans="3:19">
      <c r="C33" s="23" t="s">
        <v>176</v>
      </c>
      <c r="E33" s="28">
        <v>0.16669999999999999</v>
      </c>
      <c r="F33" s="25">
        <v>0.52292197700058685</v>
      </c>
      <c r="G33" s="28">
        <v>0</v>
      </c>
      <c r="H33" s="25">
        <v>0</v>
      </c>
      <c r="I33" s="28">
        <v>0</v>
      </c>
      <c r="J33" s="25">
        <v>0</v>
      </c>
      <c r="K33" s="28">
        <v>0</v>
      </c>
      <c r="L33" s="25">
        <v>0</v>
      </c>
      <c r="M33" s="28">
        <v>0.2135</v>
      </c>
      <c r="N33" s="25">
        <v>0.66972910671640851</v>
      </c>
      <c r="P33" s="26">
        <f t="shared" si="0"/>
        <v>1.1926510837169952</v>
      </c>
      <c r="R33" s="28">
        <v>2.9577647058823528E-2</v>
      </c>
      <c r="S33" s="27">
        <v>0.28007390419116823</v>
      </c>
    </row>
    <row r="34" spans="3:19">
      <c r="C34" s="23" t="s">
        <v>177</v>
      </c>
      <c r="E34" s="28">
        <v>0.16669999999999999</v>
      </c>
      <c r="F34" s="25">
        <v>0.27441480516074107</v>
      </c>
      <c r="G34" s="28">
        <v>0</v>
      </c>
      <c r="H34" s="25">
        <v>0</v>
      </c>
      <c r="I34" s="28">
        <v>0</v>
      </c>
      <c r="J34" s="25">
        <v>0</v>
      </c>
      <c r="K34" s="28">
        <v>0</v>
      </c>
      <c r="L34" s="25">
        <v>0</v>
      </c>
      <c r="M34" s="28">
        <v>2.86E-2</v>
      </c>
      <c r="N34" s="25">
        <v>4.708016453267664E-2</v>
      </c>
      <c r="P34" s="26">
        <f t="shared" si="0"/>
        <v>0.32149496969341773</v>
      </c>
      <c r="R34" s="28">
        <v>1.6400000000000001E-2</v>
      </c>
      <c r="S34" s="27">
        <v>0.12787113696113792</v>
      </c>
    </row>
    <row r="35" spans="3:19">
      <c r="C35" s="23" t="s">
        <v>178</v>
      </c>
      <c r="E35" s="28">
        <v>0.16669999999999999</v>
      </c>
      <c r="F35" s="25">
        <v>0.48942265088106096</v>
      </c>
      <c r="G35" s="28">
        <v>4.5999999999999999E-2</v>
      </c>
      <c r="H35" s="25">
        <v>0.13505364091498984</v>
      </c>
      <c r="I35" s="28">
        <v>0.16</v>
      </c>
      <c r="J35" s="25">
        <v>0.46975179448692117</v>
      </c>
      <c r="K35" s="28">
        <v>0</v>
      </c>
      <c r="L35" s="25">
        <v>0</v>
      </c>
      <c r="M35" s="28">
        <v>0.19</v>
      </c>
      <c r="N35" s="25">
        <v>0.55783025595321889</v>
      </c>
      <c r="P35" s="26">
        <f t="shared" si="0"/>
        <v>1.652058342236191</v>
      </c>
      <c r="R35" s="28">
        <v>1.3278823529411765E-2</v>
      </c>
      <c r="S35" s="27">
        <v>0.17671732464692572</v>
      </c>
    </row>
    <row r="36" spans="3:19">
      <c r="C36" s="23" t="s">
        <v>179</v>
      </c>
      <c r="E36" s="28">
        <v>0.16669999999999999</v>
      </c>
      <c r="F36" s="25">
        <v>0.52007539236701306</v>
      </c>
      <c r="G36" s="28">
        <v>0</v>
      </c>
      <c r="H36" s="25">
        <v>0</v>
      </c>
      <c r="I36" s="28">
        <v>2.5600000000000001E-2</v>
      </c>
      <c r="J36" s="25">
        <v>7.9867606746223979E-2</v>
      </c>
      <c r="K36" s="28">
        <v>0</v>
      </c>
      <c r="L36" s="25">
        <v>0</v>
      </c>
      <c r="M36" s="28">
        <v>6.4100000000000004E-2</v>
      </c>
      <c r="N36" s="25">
        <v>0.19998099970441238</v>
      </c>
      <c r="P36" s="26">
        <f t="shared" si="0"/>
        <v>0.79992399881764942</v>
      </c>
      <c r="R36" s="28">
        <v>2.3341176470588237E-2</v>
      </c>
      <c r="S36" s="27">
        <v>0.28346385436337146</v>
      </c>
    </row>
    <row r="37" spans="3:19">
      <c r="C37" s="23" t="s">
        <v>180</v>
      </c>
      <c r="E37" s="28">
        <v>0.16669999999999999</v>
      </c>
      <c r="F37" s="25">
        <v>0.27835348034808655</v>
      </c>
      <c r="G37" s="28">
        <v>2.41E-2</v>
      </c>
      <c r="H37" s="25">
        <v>4.0241864885356249E-2</v>
      </c>
      <c r="I37" s="28">
        <v>1.17E-2</v>
      </c>
      <c r="J37" s="25">
        <v>1.9536507019031871E-2</v>
      </c>
      <c r="K37" s="28">
        <v>0</v>
      </c>
      <c r="L37" s="25">
        <v>0</v>
      </c>
      <c r="M37" s="28">
        <v>0.30680000000000002</v>
      </c>
      <c r="N37" s="25">
        <v>0.51229062849905793</v>
      </c>
      <c r="P37" s="26">
        <f t="shared" si="0"/>
        <v>0.85042248075153259</v>
      </c>
      <c r="R37" s="28">
        <v>3.0435294117647057E-2</v>
      </c>
      <c r="S37" s="27">
        <v>0.13677877406246944</v>
      </c>
    </row>
    <row r="38" spans="3:19">
      <c r="C38" s="23" t="s">
        <v>181</v>
      </c>
      <c r="E38" s="28">
        <v>0.16669999999999999</v>
      </c>
      <c r="F38" s="25">
        <v>0.68168068544183802</v>
      </c>
      <c r="G38" s="28">
        <v>4.5499999999999999E-2</v>
      </c>
      <c r="H38" s="25">
        <v>0.18606161480266123</v>
      </c>
      <c r="I38" s="28">
        <v>9.0899999999999995E-2</v>
      </c>
      <c r="J38" s="25">
        <v>0.37171430297938257</v>
      </c>
      <c r="K38" s="28">
        <v>0</v>
      </c>
      <c r="L38" s="25">
        <v>0</v>
      </c>
      <c r="M38" s="28">
        <v>0.17050000000000001</v>
      </c>
      <c r="N38" s="25">
        <v>0.69721989722755484</v>
      </c>
      <c r="P38" s="26">
        <f t="shared" si="0"/>
        <v>1.9366765004514366</v>
      </c>
      <c r="R38" s="28">
        <v>1.0263529411764708E-2</v>
      </c>
      <c r="S38" s="27">
        <v>0.3617348714779926</v>
      </c>
    </row>
    <row r="39" spans="3:19">
      <c r="C39" s="23" t="s">
        <v>182</v>
      </c>
      <c r="E39" s="28">
        <v>0.16669999999999999</v>
      </c>
      <c r="F39" s="25">
        <v>0.52292197700058685</v>
      </c>
      <c r="G39" s="28">
        <v>0</v>
      </c>
      <c r="H39" s="25">
        <v>0</v>
      </c>
      <c r="I39" s="28">
        <v>0</v>
      </c>
      <c r="J39" s="25">
        <v>0</v>
      </c>
      <c r="K39" s="28">
        <v>0</v>
      </c>
      <c r="L39" s="25">
        <v>0</v>
      </c>
      <c r="M39" s="28">
        <v>0.2135</v>
      </c>
      <c r="N39" s="25">
        <v>0.66972910671640851</v>
      </c>
      <c r="P39" s="26">
        <f t="shared" si="0"/>
        <v>1.1926510837169952</v>
      </c>
      <c r="R39" s="28">
        <v>2.9577647058823528E-2</v>
      </c>
      <c r="S39" s="27">
        <v>0.28007390419116823</v>
      </c>
    </row>
    <row r="40" spans="3:19">
      <c r="C40" s="23" t="s">
        <v>183</v>
      </c>
      <c r="E40" s="28">
        <v>0.16669999999999999</v>
      </c>
      <c r="F40" s="25">
        <v>0.39078133027610273</v>
      </c>
      <c r="G40" s="28">
        <v>4.2500000000000003E-2</v>
      </c>
      <c r="H40" s="25">
        <v>9.9629313357734658E-2</v>
      </c>
      <c r="I40" s="28">
        <v>0</v>
      </c>
      <c r="J40" s="25">
        <v>0</v>
      </c>
      <c r="K40" s="28">
        <v>0</v>
      </c>
      <c r="L40" s="25">
        <v>0</v>
      </c>
      <c r="M40" s="28">
        <v>0.375</v>
      </c>
      <c r="N40" s="25">
        <v>0.87908217668589406</v>
      </c>
      <c r="P40" s="26">
        <f t="shared" si="0"/>
        <v>1.3694928203197314</v>
      </c>
      <c r="R40" s="28">
        <v>2.6396470588235296E-2</v>
      </c>
      <c r="S40" s="27">
        <v>0.49590601916442273</v>
      </c>
    </row>
    <row r="41" spans="3:19">
      <c r="C41" s="23" t="s">
        <v>184</v>
      </c>
      <c r="E41" s="28">
        <v>0.16669999999999999</v>
      </c>
      <c r="F41" s="25">
        <v>0.26224914915413827</v>
      </c>
      <c r="G41" s="28">
        <v>0</v>
      </c>
      <c r="H41" s="25">
        <v>0</v>
      </c>
      <c r="I41" s="28">
        <v>0.1429</v>
      </c>
      <c r="J41" s="25">
        <v>0.22480745899295959</v>
      </c>
      <c r="K41" s="28">
        <v>0</v>
      </c>
      <c r="L41" s="25">
        <v>0</v>
      </c>
      <c r="M41" s="28">
        <v>0.3271</v>
      </c>
      <c r="N41" s="25">
        <v>0.51458726267737631</v>
      </c>
      <c r="P41" s="26">
        <f t="shared" si="0"/>
        <v>1.0016438708244741</v>
      </c>
      <c r="R41" s="28">
        <v>0</v>
      </c>
      <c r="S41" s="27">
        <v>0</v>
      </c>
    </row>
  </sheetData>
  <mergeCells count="5">
    <mergeCell ref="M4:N4"/>
    <mergeCell ref="E4:F4"/>
    <mergeCell ref="G4:H4"/>
    <mergeCell ref="I4:J4"/>
    <mergeCell ref="K4:L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0000"/>
    <pageSetUpPr fitToPage="1"/>
  </sheetPr>
  <dimension ref="A1:CO127"/>
  <sheetViews>
    <sheetView showGridLines="0" zoomScale="85" zoomScaleNormal="85" workbookViewId="0">
      <pane xSplit="3" ySplit="15" topLeftCell="CC70" activePane="bottomRight" state="frozenSplit"/>
      <selection activeCell="A45" sqref="A45:M109"/>
      <selection pane="topRight" activeCell="A45" sqref="A45:M109"/>
      <selection pane="bottomLeft" activeCell="A45" sqref="A45:M109"/>
      <selection pane="bottomRight" activeCell="CH89" sqref="CH89"/>
    </sheetView>
  </sheetViews>
  <sheetFormatPr defaultColWidth="9.1796875" defaultRowHeight="12.5" outlineLevelRow="1" outlineLevelCol="3"/>
  <cols>
    <col min="1" max="1" width="3.453125" style="103" hidden="1" customWidth="1" outlineLevel="1"/>
    <col min="2" max="2" width="11.453125" style="103" hidden="1" customWidth="1" outlineLevel="1"/>
    <col min="3" max="3" width="12" style="103" hidden="1" customWidth="1" outlineLevel="1"/>
    <col min="4" max="4" width="12.453125" style="103" hidden="1" customWidth="1" outlineLevel="3"/>
    <col min="5" max="5" width="12.54296875" style="103" hidden="1" customWidth="1" outlineLevel="3"/>
    <col min="6" max="6" width="11.54296875" style="103" hidden="1" customWidth="1" outlineLevel="3"/>
    <col min="7" max="8" width="11.453125" style="103" hidden="1" customWidth="1" outlineLevel="3"/>
    <col min="9" max="9" width="13.81640625" style="103" hidden="1" customWidth="1" outlineLevel="3"/>
    <col min="10" max="10" width="4" style="103" hidden="1" customWidth="1" outlineLevel="3"/>
    <col min="11" max="12" width="13.54296875" style="103" hidden="1" customWidth="1" outlineLevel="3"/>
    <col min="13" max="13" width="13.81640625" style="103" hidden="1" customWidth="1" outlineLevel="3"/>
    <col min="14" max="14" width="11.54296875" style="103" hidden="1" customWidth="1" outlineLevel="3"/>
    <col min="15" max="15" width="12.453125" style="103" hidden="1" customWidth="1" outlineLevel="3"/>
    <col min="16" max="16" width="15.453125" style="103" hidden="1" customWidth="1" outlineLevel="3"/>
    <col min="17" max="17" width="11.453125" style="103" hidden="1" customWidth="1" outlineLevel="3"/>
    <col min="18" max="18" width="11" style="103" hidden="1" customWidth="1" outlineLevel="3"/>
    <col min="19" max="19" width="9.81640625" style="103" hidden="1" customWidth="1" outlineLevel="3"/>
    <col min="20" max="20" width="11.453125" style="103" hidden="1" customWidth="1" outlineLevel="3"/>
    <col min="21" max="21" width="3.453125" style="103" hidden="1" customWidth="1" outlineLevel="3"/>
    <col min="22" max="22" width="13.54296875" style="103" hidden="1" customWidth="1" outlineLevel="3" collapsed="1"/>
    <col min="23" max="24" width="13.54296875" style="103" hidden="1" customWidth="1" outlineLevel="3"/>
    <col min="25" max="25" width="13.81640625" style="103" hidden="1" customWidth="1" outlineLevel="3"/>
    <col min="26" max="26" width="11.54296875" style="103" hidden="1" customWidth="1" outlineLevel="3"/>
    <col min="27" max="27" width="12.453125" style="103" hidden="1" customWidth="1" outlineLevel="3"/>
    <col min="28" max="28" width="15.453125" style="103" hidden="1" customWidth="1" outlineLevel="3"/>
    <col min="29" max="29" width="9.1796875" style="103" hidden="1" customWidth="1" outlineLevel="3"/>
    <col min="30" max="30" width="11" style="103" hidden="1" customWidth="1" outlineLevel="3"/>
    <col min="31" max="31" width="9.81640625" style="103" hidden="1" customWidth="1" outlineLevel="3"/>
    <col min="32" max="32" width="11.453125" style="103" hidden="1" customWidth="1" outlineLevel="3"/>
    <col min="33" max="33" width="3.453125" style="103" hidden="1" customWidth="1" outlineLevel="3"/>
    <col min="34" max="34" width="13.54296875" style="103" hidden="1" customWidth="1" outlineLevel="2" collapsed="1"/>
    <col min="35" max="36" width="13.54296875" style="103" hidden="1" customWidth="1" outlineLevel="2"/>
    <col min="37" max="37" width="13.81640625" style="103" hidden="1" customWidth="1" outlineLevel="2"/>
    <col min="38" max="38" width="11.54296875" style="103" hidden="1" customWidth="1" outlineLevel="2"/>
    <col min="39" max="39" width="12.453125" style="103" hidden="1" customWidth="1" outlineLevel="2"/>
    <col min="40" max="40" width="15.453125" style="103" hidden="1" customWidth="1" outlineLevel="2"/>
    <col min="41" max="41" width="9.1796875" style="103" hidden="1" customWidth="1" outlineLevel="2"/>
    <col min="42" max="42" width="11" style="103" hidden="1" customWidth="1" outlineLevel="2"/>
    <col min="43" max="43" width="9.81640625" style="103" hidden="1" customWidth="1" outlineLevel="2"/>
    <col min="44" max="44" width="11.453125" style="103" hidden="1" customWidth="1" outlineLevel="2"/>
    <col min="45" max="45" width="4.81640625" style="103" hidden="1" customWidth="1" outlineLevel="2"/>
    <col min="46" max="48" width="13.54296875" style="103" hidden="1" customWidth="1" outlineLevel="2"/>
    <col min="49" max="49" width="13.81640625" style="103" hidden="1" customWidth="1" outlineLevel="2"/>
    <col min="50" max="50" width="11.54296875" style="103" hidden="1" customWidth="1" outlineLevel="2"/>
    <col min="51" max="51" width="12.453125" style="103" hidden="1" customWidth="1" outlineLevel="2"/>
    <col min="52" max="52" width="15.453125" style="103" hidden="1" customWidth="1" outlineLevel="2"/>
    <col min="53" max="53" width="11.453125" style="103" hidden="1" customWidth="1" outlineLevel="2"/>
    <col min="54" max="54" width="11" style="103" hidden="1" customWidth="1" outlineLevel="2"/>
    <col min="55" max="55" width="9.81640625" style="103" hidden="1" customWidth="1" outlineLevel="2"/>
    <col min="56" max="56" width="11.453125" style="103" hidden="1" customWidth="1" outlineLevel="2"/>
    <col min="57" max="57" width="8" style="103" hidden="1" customWidth="1" outlineLevel="1"/>
    <col min="58" max="60" width="13.54296875" style="103" hidden="1" customWidth="1" outlineLevel="2"/>
    <col min="61" max="61" width="13.81640625" style="103" hidden="1" customWidth="1" outlineLevel="2"/>
    <col min="62" max="62" width="11.54296875" style="103" hidden="1" customWidth="1" outlineLevel="2"/>
    <col min="63" max="63" width="12.453125" style="103" hidden="1" customWidth="1" outlineLevel="2"/>
    <col min="64" max="64" width="15.453125" style="103" hidden="1" customWidth="1" outlineLevel="2"/>
    <col min="65" max="65" width="11.453125" style="103" hidden="1" customWidth="1" outlineLevel="2"/>
    <col min="66" max="66" width="11" style="103" hidden="1" customWidth="1" outlineLevel="2"/>
    <col min="67" max="67" width="9.81640625" style="103" hidden="1" customWidth="1" outlineLevel="2"/>
    <col min="68" max="68" width="11.453125" style="103" hidden="1" customWidth="1" outlineLevel="2"/>
    <col min="69" max="69" width="9.1796875" style="103" hidden="1" customWidth="1" outlineLevel="2"/>
    <col min="70" max="72" width="13.54296875" style="103" hidden="1" customWidth="1" outlineLevel="2"/>
    <col min="73" max="73" width="13.81640625" style="103" hidden="1" customWidth="1" outlineLevel="2"/>
    <col min="74" max="74" width="11.54296875" style="103" hidden="1" customWidth="1" outlineLevel="2"/>
    <col min="75" max="75" width="12.453125" style="103" hidden="1" customWidth="1" outlineLevel="2"/>
    <col min="76" max="76" width="15.453125" style="103" hidden="1" customWidth="1" outlineLevel="2"/>
    <col min="77" max="77" width="11.453125" style="103" hidden="1" customWidth="1" outlineLevel="2"/>
    <col min="78" max="78" width="11" style="103" hidden="1" customWidth="1" outlineLevel="2"/>
    <col min="79" max="79" width="9.81640625" style="103" hidden="1" customWidth="1" outlineLevel="2"/>
    <col min="80" max="80" width="11.453125" style="103" hidden="1" customWidth="1" outlineLevel="2"/>
    <col min="81" max="81" width="9.1796875" style="103" hidden="1" customWidth="1" outlineLevel="1" collapsed="1"/>
    <col min="82" max="82" width="9.1796875" style="103" collapsed="1"/>
    <col min="83" max="83" width="10.81640625" style="103" customWidth="1"/>
    <col min="84" max="85" width="11.1796875" style="103" bestFit="1" customWidth="1"/>
    <col min="86" max="86" width="10.08984375" style="103" bestFit="1" customWidth="1"/>
    <col min="87" max="87" width="9.1796875" style="103"/>
    <col min="88" max="88" width="26.54296875" style="103" bestFit="1" customWidth="1"/>
    <col min="89" max="89" width="25.90625" style="103" bestFit="1" customWidth="1"/>
    <col min="90" max="91" width="9.1796875" style="103"/>
    <col min="92" max="92" width="10.08984375" style="103" bestFit="1" customWidth="1"/>
    <col min="93" max="93" width="13.26953125" style="103" bestFit="1" customWidth="1"/>
    <col min="94" max="16384" width="9.1796875" style="103"/>
  </cols>
  <sheetData>
    <row r="1" spans="1:92">
      <c r="A1" s="144">
        <f>COLUMN()</f>
        <v>1</v>
      </c>
      <c r="B1" s="144">
        <f>COLUMN()</f>
        <v>2</v>
      </c>
      <c r="C1" s="144">
        <f>COLUMN()</f>
        <v>3</v>
      </c>
      <c r="D1" s="144">
        <f>COLUMN()</f>
        <v>4</v>
      </c>
      <c r="E1" s="144">
        <f>COLUMN()</f>
        <v>5</v>
      </c>
      <c r="F1" s="144">
        <f>COLUMN()</f>
        <v>6</v>
      </c>
      <c r="G1" s="144">
        <f>COLUMN()</f>
        <v>7</v>
      </c>
      <c r="H1" s="144">
        <f>COLUMN()</f>
        <v>8</v>
      </c>
      <c r="I1" s="144">
        <f>COLUMN()</f>
        <v>9</v>
      </c>
      <c r="J1" s="144">
        <f>COLUMN()</f>
        <v>10</v>
      </c>
      <c r="K1" s="144">
        <f>COLUMN()</f>
        <v>11</v>
      </c>
      <c r="L1" s="144">
        <f>COLUMN()</f>
        <v>12</v>
      </c>
      <c r="M1" s="144">
        <f>COLUMN()</f>
        <v>13</v>
      </c>
      <c r="N1" s="144">
        <f>COLUMN()</f>
        <v>14</v>
      </c>
      <c r="O1" s="144">
        <f>COLUMN()</f>
        <v>15</v>
      </c>
      <c r="P1" s="144">
        <f>COLUMN()</f>
        <v>16</v>
      </c>
      <c r="Q1" s="144">
        <f>COLUMN()</f>
        <v>17</v>
      </c>
      <c r="R1" s="144">
        <f>COLUMN()</f>
        <v>18</v>
      </c>
      <c r="S1" s="144">
        <f>COLUMN()</f>
        <v>19</v>
      </c>
      <c r="T1" s="144"/>
      <c r="U1" s="144">
        <f>COLUMN()</f>
        <v>21</v>
      </c>
      <c r="V1" s="144">
        <f>COLUMN()</f>
        <v>22</v>
      </c>
      <c r="W1" s="144">
        <f>COLUMN()</f>
        <v>23</v>
      </c>
      <c r="X1" s="144">
        <f>COLUMN()</f>
        <v>24</v>
      </c>
      <c r="Y1" s="144">
        <f>COLUMN()</f>
        <v>25</v>
      </c>
      <c r="Z1" s="144">
        <f>COLUMN()</f>
        <v>26</v>
      </c>
      <c r="AA1" s="144">
        <f>COLUMN()</f>
        <v>27</v>
      </c>
      <c r="AB1" s="144">
        <f>COLUMN()</f>
        <v>28</v>
      </c>
      <c r="AC1" s="144">
        <f>COLUMN()</f>
        <v>29</v>
      </c>
      <c r="AD1" s="144">
        <f>COLUMN()</f>
        <v>30</v>
      </c>
      <c r="AE1" s="144">
        <f>COLUMN()</f>
        <v>31</v>
      </c>
      <c r="AF1" s="144"/>
      <c r="AG1" s="144">
        <f>COLUMN()</f>
        <v>33</v>
      </c>
      <c r="AH1" s="144">
        <f>COLUMN()</f>
        <v>34</v>
      </c>
      <c r="AI1" s="144">
        <f>COLUMN()</f>
        <v>35</v>
      </c>
      <c r="AJ1" s="144"/>
      <c r="AK1" s="144">
        <f>COLUMN()</f>
        <v>37</v>
      </c>
      <c r="AL1" s="144">
        <f>COLUMN()</f>
        <v>38</v>
      </c>
      <c r="AM1" s="144">
        <f>COLUMN()</f>
        <v>39</v>
      </c>
      <c r="AN1" s="144">
        <f>COLUMN()</f>
        <v>40</v>
      </c>
      <c r="AO1" s="144">
        <f>COLUMN()</f>
        <v>41</v>
      </c>
      <c r="AP1" s="144">
        <f>COLUMN()</f>
        <v>42</v>
      </c>
      <c r="AQ1" s="144">
        <f>COLUMN()</f>
        <v>43</v>
      </c>
      <c r="AR1" s="144"/>
      <c r="AS1" s="144"/>
      <c r="AT1" s="144">
        <f>COLUMN()</f>
        <v>46</v>
      </c>
      <c r="AU1" s="144">
        <f>COLUMN()</f>
        <v>47</v>
      </c>
      <c r="AV1" s="144"/>
      <c r="AW1" s="144">
        <f>COLUMN()</f>
        <v>49</v>
      </c>
      <c r="AX1" s="144">
        <f>COLUMN()</f>
        <v>50</v>
      </c>
      <c r="AY1" s="144">
        <f>COLUMN()</f>
        <v>51</v>
      </c>
      <c r="AZ1" s="144">
        <f>COLUMN()</f>
        <v>52</v>
      </c>
      <c r="BA1" s="144">
        <f>COLUMN()</f>
        <v>53</v>
      </c>
      <c r="BB1" s="144">
        <f>COLUMN()</f>
        <v>54</v>
      </c>
      <c r="BC1" s="144">
        <f>COLUMN()</f>
        <v>55</v>
      </c>
      <c r="BD1" s="144">
        <f>COLUMN()</f>
        <v>56</v>
      </c>
      <c r="BE1" s="144">
        <f>COLUMN()</f>
        <v>57</v>
      </c>
      <c r="BF1" s="144">
        <f>COLUMN()</f>
        <v>58</v>
      </c>
      <c r="BG1" s="144">
        <f>COLUMN()</f>
        <v>59</v>
      </c>
      <c r="BH1" s="144">
        <f>COLUMN()</f>
        <v>60</v>
      </c>
      <c r="BI1" s="144">
        <f>COLUMN()</f>
        <v>61</v>
      </c>
      <c r="BJ1" s="144">
        <f>COLUMN()</f>
        <v>62</v>
      </c>
      <c r="BK1" s="144">
        <f>COLUMN()</f>
        <v>63</v>
      </c>
      <c r="BL1" s="144">
        <f>COLUMN()</f>
        <v>64</v>
      </c>
      <c r="BM1" s="144">
        <f>COLUMN()</f>
        <v>65</v>
      </c>
      <c r="BN1" s="144">
        <f>COLUMN()</f>
        <v>66</v>
      </c>
      <c r="BO1" s="144">
        <f>COLUMN()</f>
        <v>67</v>
      </c>
      <c r="BP1" s="144">
        <f>COLUMN()</f>
        <v>68</v>
      </c>
      <c r="BR1" s="144">
        <f>COLUMN()</f>
        <v>70</v>
      </c>
      <c r="BS1" s="144">
        <f>COLUMN()</f>
        <v>71</v>
      </c>
      <c r="BT1" s="144">
        <f>COLUMN()</f>
        <v>72</v>
      </c>
      <c r="BU1" s="144">
        <f>COLUMN()</f>
        <v>73</v>
      </c>
      <c r="BV1" s="144">
        <f>COLUMN()</f>
        <v>74</v>
      </c>
      <c r="BW1" s="144">
        <f>COLUMN()</f>
        <v>75</v>
      </c>
      <c r="BX1" s="144">
        <f>COLUMN()</f>
        <v>76</v>
      </c>
      <c r="BY1" s="144">
        <f>COLUMN()</f>
        <v>77</v>
      </c>
      <c r="BZ1" s="144">
        <f>COLUMN()</f>
        <v>78</v>
      </c>
      <c r="CA1" s="144">
        <f>COLUMN()</f>
        <v>79</v>
      </c>
      <c r="CB1" s="144">
        <f>COLUMN()</f>
        <v>80</v>
      </c>
    </row>
    <row r="2" spans="1:92" ht="13">
      <c r="A2" s="144"/>
      <c r="B2" s="144"/>
      <c r="C2" s="144"/>
      <c r="D2" s="596" t="s">
        <v>290</v>
      </c>
      <c r="E2" s="596"/>
      <c r="F2" s="596"/>
      <c r="G2" s="596"/>
      <c r="H2" s="596"/>
      <c r="I2" s="596"/>
      <c r="J2" s="144"/>
      <c r="K2" s="596" t="s">
        <v>259</v>
      </c>
      <c r="L2" s="596"/>
      <c r="M2" s="596"/>
      <c r="N2" s="596"/>
      <c r="O2" s="596"/>
      <c r="P2" s="596"/>
      <c r="Q2" s="144"/>
      <c r="R2" s="144"/>
      <c r="S2" s="144"/>
      <c r="T2" s="144"/>
      <c r="U2" s="144"/>
      <c r="V2" s="596" t="s">
        <v>278</v>
      </c>
      <c r="W2" s="596"/>
      <c r="X2" s="596"/>
      <c r="Y2" s="596"/>
      <c r="Z2" s="596"/>
      <c r="AA2" s="596"/>
      <c r="AB2" s="596"/>
      <c r="AC2" s="144"/>
      <c r="AD2" s="144"/>
      <c r="AE2" s="144"/>
      <c r="AF2" s="144"/>
      <c r="AG2" s="144"/>
      <c r="AH2" s="596" t="s">
        <v>279</v>
      </c>
      <c r="AI2" s="596"/>
      <c r="AJ2" s="596"/>
      <c r="AK2" s="596"/>
      <c r="AL2" s="596"/>
      <c r="AM2" s="596"/>
      <c r="AN2" s="596"/>
      <c r="AO2" s="144"/>
      <c r="AP2" s="144"/>
      <c r="AQ2" s="144"/>
      <c r="AR2" s="144"/>
      <c r="AS2" s="144"/>
      <c r="AT2" s="596" t="s">
        <v>314</v>
      </c>
      <c r="AU2" s="596"/>
      <c r="AV2" s="596"/>
      <c r="AW2" s="596"/>
      <c r="AX2" s="596"/>
      <c r="AY2" s="596"/>
      <c r="AZ2" s="596"/>
      <c r="BA2" s="144"/>
      <c r="BB2" s="144"/>
      <c r="BC2" s="144"/>
      <c r="BD2" s="144"/>
      <c r="BE2" s="144"/>
      <c r="BF2" s="600" t="s">
        <v>318</v>
      </c>
      <c r="BG2" s="600"/>
      <c r="BH2" s="600"/>
      <c r="BI2" s="600"/>
      <c r="BJ2" s="600"/>
      <c r="BK2" s="600"/>
      <c r="BL2" s="600"/>
      <c r="BM2" s="144"/>
      <c r="BN2" s="144"/>
      <c r="BO2" s="144"/>
      <c r="BP2" s="144"/>
      <c r="BR2" s="599" t="s">
        <v>327</v>
      </c>
      <c r="BS2" s="599"/>
      <c r="BT2" s="599"/>
      <c r="BU2" s="599"/>
      <c r="BV2" s="599"/>
      <c r="BW2" s="599"/>
      <c r="BX2" s="599"/>
      <c r="BY2" s="144"/>
      <c r="BZ2" s="144"/>
      <c r="CA2" s="144"/>
      <c r="CB2" s="144"/>
      <c r="CE2" s="19" t="s">
        <v>520</v>
      </c>
    </row>
    <row r="3" spans="1:92" ht="13">
      <c r="A3" s="144"/>
      <c r="B3" s="152" t="s">
        <v>226</v>
      </c>
      <c r="C3" s="144"/>
      <c r="D3" s="184" t="s">
        <v>227</v>
      </c>
      <c r="E3" s="184" t="s">
        <v>228</v>
      </c>
      <c r="F3" s="184" t="s">
        <v>229</v>
      </c>
      <c r="G3" s="144"/>
      <c r="H3" s="144"/>
      <c r="I3" s="144"/>
      <c r="J3" s="144"/>
      <c r="K3" s="184" t="s">
        <v>227</v>
      </c>
      <c r="L3" s="184" t="s">
        <v>228</v>
      </c>
      <c r="M3" s="184" t="s">
        <v>229</v>
      </c>
      <c r="N3" s="144"/>
      <c r="O3" s="144"/>
      <c r="P3" s="144"/>
      <c r="Q3" s="144"/>
      <c r="R3" s="144"/>
      <c r="S3" s="144"/>
      <c r="T3" s="144"/>
      <c r="U3" s="144"/>
      <c r="V3" s="184" t="s">
        <v>227</v>
      </c>
      <c r="W3" s="184" t="s">
        <v>228</v>
      </c>
      <c r="X3" s="184" t="s">
        <v>229</v>
      </c>
      <c r="Y3" s="144"/>
      <c r="Z3" s="144"/>
      <c r="AA3" s="144"/>
      <c r="AB3" s="144"/>
      <c r="AC3" s="144"/>
      <c r="AD3" s="144"/>
      <c r="AE3" s="144"/>
      <c r="AF3" s="144"/>
      <c r="AG3" s="144"/>
      <c r="AH3" s="184" t="s">
        <v>227</v>
      </c>
      <c r="AI3" s="184" t="s">
        <v>228</v>
      </c>
      <c r="AJ3" s="184" t="s">
        <v>229</v>
      </c>
      <c r="AK3" s="144"/>
      <c r="AL3" s="144"/>
      <c r="AM3" s="144"/>
      <c r="AN3" s="144"/>
      <c r="AO3" s="144"/>
      <c r="AP3" s="144"/>
      <c r="AQ3" s="144"/>
      <c r="AR3" s="144"/>
      <c r="AS3" s="144"/>
      <c r="AT3" s="184" t="s">
        <v>227</v>
      </c>
      <c r="AU3" s="184" t="s">
        <v>228</v>
      </c>
      <c r="AV3" s="184" t="s">
        <v>229</v>
      </c>
      <c r="AW3" s="144"/>
      <c r="AX3" s="144"/>
      <c r="AY3" s="144"/>
      <c r="AZ3" s="144"/>
      <c r="BA3" s="144"/>
      <c r="BB3" s="144"/>
      <c r="BC3" s="144"/>
      <c r="BD3" s="144"/>
      <c r="BE3" s="144"/>
      <c r="BF3" s="184" t="s">
        <v>227</v>
      </c>
      <c r="BG3" s="184" t="s">
        <v>228</v>
      </c>
      <c r="BH3" s="184" t="s">
        <v>229</v>
      </c>
      <c r="BI3" s="144"/>
      <c r="BJ3" s="144"/>
      <c r="BK3" s="144"/>
      <c r="BL3" s="144"/>
      <c r="BM3" s="144"/>
      <c r="BN3" s="144"/>
      <c r="BO3" s="144"/>
      <c r="BP3" s="144"/>
      <c r="BR3" s="184" t="s">
        <v>227</v>
      </c>
      <c r="BS3" s="184" t="s">
        <v>228</v>
      </c>
      <c r="BT3" s="184" t="s">
        <v>229</v>
      </c>
      <c r="BU3" s="144"/>
      <c r="BV3" s="144"/>
      <c r="BW3" s="144"/>
      <c r="BX3" s="144"/>
      <c r="BY3" s="144"/>
      <c r="BZ3" s="144"/>
      <c r="CA3" s="144"/>
      <c r="CB3" s="144"/>
    </row>
    <row r="4" spans="1:92">
      <c r="A4" s="144"/>
      <c r="B4" s="151" t="s">
        <v>63</v>
      </c>
      <c r="C4" s="144"/>
      <c r="D4" s="185">
        <v>0.2</v>
      </c>
      <c r="E4" s="185">
        <v>0.15</v>
      </c>
      <c r="F4" s="185">
        <v>0.05</v>
      </c>
      <c r="G4" s="144"/>
      <c r="H4" s="597" t="s">
        <v>253</v>
      </c>
      <c r="I4" s="597"/>
      <c r="J4" s="144"/>
      <c r="K4" s="185">
        <v>0.2</v>
      </c>
      <c r="L4" s="185">
        <v>0.15</v>
      </c>
      <c r="M4" s="185">
        <v>0.05</v>
      </c>
      <c r="N4" s="144"/>
      <c r="O4" s="597" t="s">
        <v>253</v>
      </c>
      <c r="P4" s="597"/>
      <c r="Q4" s="144"/>
      <c r="R4" s="144"/>
      <c r="S4" s="144"/>
      <c r="T4" s="144"/>
      <c r="U4" s="144"/>
      <c r="V4" s="185">
        <v>0.2</v>
      </c>
      <c r="W4" s="185">
        <v>0.15</v>
      </c>
      <c r="X4" s="185">
        <v>0.05</v>
      </c>
      <c r="Y4" s="144"/>
      <c r="Z4" s="144"/>
      <c r="AA4" s="597" t="s">
        <v>253</v>
      </c>
      <c r="AB4" s="597"/>
      <c r="AC4" s="144"/>
      <c r="AD4" s="144"/>
      <c r="AE4" s="144"/>
      <c r="AF4" s="144"/>
      <c r="AG4" s="144"/>
      <c r="AH4" s="185">
        <v>0.2</v>
      </c>
      <c r="AI4" s="185">
        <v>0.15</v>
      </c>
      <c r="AJ4" s="185">
        <v>0.05</v>
      </c>
      <c r="AK4" s="144"/>
      <c r="AL4" s="144"/>
      <c r="AM4" s="597" t="s">
        <v>253</v>
      </c>
      <c r="AN4" s="597"/>
      <c r="AO4" s="144"/>
      <c r="AP4" s="144"/>
      <c r="AQ4" s="144"/>
      <c r="AR4" s="144"/>
      <c r="AS4" s="144"/>
      <c r="AT4" s="185">
        <v>0.2</v>
      </c>
      <c r="AU4" s="185">
        <v>0.15</v>
      </c>
      <c r="AV4" s="185">
        <v>0.05</v>
      </c>
      <c r="AW4" s="144"/>
      <c r="AX4" s="144"/>
      <c r="AY4" s="597" t="s">
        <v>253</v>
      </c>
      <c r="AZ4" s="597"/>
      <c r="BA4" s="144"/>
      <c r="BB4" s="144"/>
      <c r="BC4" s="144"/>
      <c r="BD4" s="144"/>
      <c r="BE4" s="144"/>
      <c r="BF4" s="185">
        <v>0.2</v>
      </c>
      <c r="BG4" s="185">
        <v>0.15</v>
      </c>
      <c r="BH4" s="185">
        <v>0.05</v>
      </c>
      <c r="BI4" s="144"/>
      <c r="BJ4" s="144"/>
      <c r="BK4" s="597" t="s">
        <v>253</v>
      </c>
      <c r="BL4" s="597"/>
      <c r="BM4" s="144"/>
      <c r="BN4" s="144"/>
      <c r="BO4" s="144"/>
      <c r="BP4" s="144"/>
      <c r="BR4" s="185">
        <v>0.2</v>
      </c>
      <c r="BS4" s="185">
        <v>0.15</v>
      </c>
      <c r="BT4" s="185">
        <v>0.05</v>
      </c>
      <c r="BU4" s="144"/>
      <c r="BV4" s="144"/>
      <c r="BW4" s="597" t="s">
        <v>253</v>
      </c>
      <c r="BX4" s="597"/>
      <c r="BY4" s="144"/>
      <c r="BZ4" s="144"/>
      <c r="CA4" s="144"/>
      <c r="CB4" s="144"/>
    </row>
    <row r="5" spans="1:92">
      <c r="A5" s="144"/>
      <c r="B5" s="151" t="s">
        <v>65</v>
      </c>
      <c r="C5" s="144"/>
      <c r="D5" s="121">
        <v>4200</v>
      </c>
      <c r="E5" s="121">
        <v>3553</v>
      </c>
      <c r="F5" s="121">
        <v>971</v>
      </c>
      <c r="G5" s="144" t="s">
        <v>287</v>
      </c>
      <c r="H5" s="151" t="s">
        <v>64</v>
      </c>
      <c r="I5" s="186">
        <f>D5/0.2</f>
        <v>21000</v>
      </c>
      <c r="J5" s="144"/>
      <c r="K5" s="121">
        <v>4326</v>
      </c>
      <c r="L5" s="121">
        <v>3659</v>
      </c>
      <c r="M5" s="121">
        <v>1000</v>
      </c>
      <c r="N5" s="144" t="s">
        <v>287</v>
      </c>
      <c r="O5" s="151" t="s">
        <v>64</v>
      </c>
      <c r="P5" s="186">
        <f>K5/0.2</f>
        <v>21630</v>
      </c>
      <c r="Q5" s="144"/>
      <c r="R5" s="144"/>
      <c r="S5" s="144"/>
      <c r="T5" s="144"/>
      <c r="U5" s="144"/>
      <c r="V5" s="121">
        <v>4400</v>
      </c>
      <c r="W5" s="121">
        <v>3722</v>
      </c>
      <c r="X5" s="121">
        <v>1017</v>
      </c>
      <c r="Y5" s="144" t="s">
        <v>287</v>
      </c>
      <c r="Z5" s="144"/>
      <c r="AA5" s="151" t="s">
        <v>64</v>
      </c>
      <c r="AB5" s="186">
        <f>V5/0.2</f>
        <v>22000</v>
      </c>
      <c r="AC5" s="144"/>
      <c r="AD5" s="144"/>
      <c r="AE5" s="144"/>
      <c r="AF5" s="144"/>
      <c r="AG5" s="144"/>
      <c r="AH5" s="121">
        <v>4473</v>
      </c>
      <c r="AI5" s="121">
        <v>3784</v>
      </c>
      <c r="AJ5" s="121">
        <v>1034</v>
      </c>
      <c r="AK5" s="144" t="s">
        <v>287</v>
      </c>
      <c r="AL5" s="144"/>
      <c r="AM5" s="151" t="s">
        <v>64</v>
      </c>
      <c r="AN5" s="186">
        <f>AH5/0.2</f>
        <v>22365</v>
      </c>
      <c r="AO5" s="144"/>
      <c r="AP5" s="144"/>
      <c r="AQ5" s="144"/>
      <c r="AR5" s="144"/>
      <c r="AS5" s="144"/>
      <c r="AT5" s="121">
        <v>4608</v>
      </c>
      <c r="AU5" s="121">
        <v>3898</v>
      </c>
      <c r="AV5" s="121">
        <v>1066</v>
      </c>
      <c r="AW5" s="144" t="s">
        <v>287</v>
      </c>
      <c r="AX5" s="144"/>
      <c r="AY5" s="151" t="s">
        <v>64</v>
      </c>
      <c r="AZ5" s="186">
        <f>AT5/0.2</f>
        <v>23040</v>
      </c>
      <c r="BA5" s="144"/>
      <c r="BB5" s="144"/>
      <c r="BC5" s="144"/>
      <c r="BD5" s="144"/>
      <c r="BE5" s="271">
        <f>AS5*(1+$BF$8)</f>
        <v>0</v>
      </c>
      <c r="BF5" s="271">
        <f t="shared" ref="BF5:BH6" si="0">(AT5/BF$4+1400)*BF$4</f>
        <v>4888</v>
      </c>
      <c r="BG5" s="271">
        <f t="shared" si="0"/>
        <v>4108</v>
      </c>
      <c r="BH5" s="271">
        <f t="shared" si="0"/>
        <v>1136</v>
      </c>
      <c r="BI5" s="144" t="s">
        <v>287</v>
      </c>
      <c r="BJ5" s="144"/>
      <c r="BK5" s="151" t="s">
        <v>64</v>
      </c>
      <c r="BL5" s="186">
        <f>BF5/0.2</f>
        <v>24440</v>
      </c>
      <c r="BM5" s="144"/>
      <c r="BN5" s="144"/>
      <c r="BO5" s="144"/>
      <c r="BP5" s="144"/>
      <c r="BR5" s="295">
        <f>BF5*1.05</f>
        <v>5132.4000000000005</v>
      </c>
      <c r="BS5" s="295">
        <f t="shared" ref="BS5:BS6" si="1">BG5*1.05</f>
        <v>4313.4000000000005</v>
      </c>
      <c r="BT5" s="295">
        <f t="shared" ref="BT5:BT6" si="2">BH5*1.05</f>
        <v>1192.8</v>
      </c>
      <c r="BU5" s="144" t="s">
        <v>287</v>
      </c>
      <c r="BV5" s="144"/>
      <c r="BW5" s="151" t="s">
        <v>64</v>
      </c>
      <c r="BX5" s="186">
        <f>BR5/0.2</f>
        <v>25662</v>
      </c>
      <c r="BY5" s="144"/>
      <c r="BZ5" s="144"/>
      <c r="CA5" s="144"/>
      <c r="CB5" s="144"/>
    </row>
    <row r="6" spans="1:92">
      <c r="A6" s="144"/>
      <c r="B6" s="151" t="s">
        <v>67</v>
      </c>
      <c r="C6" s="144"/>
      <c r="D6" s="121">
        <v>6469</v>
      </c>
      <c r="E6" s="121">
        <v>4528</v>
      </c>
      <c r="F6" s="121">
        <v>1682</v>
      </c>
      <c r="G6" s="144" t="s">
        <v>287</v>
      </c>
      <c r="H6" s="151" t="s">
        <v>66</v>
      </c>
      <c r="I6" s="186">
        <f>D6/0.2</f>
        <v>32345</v>
      </c>
      <c r="J6" s="144"/>
      <c r="K6" s="121">
        <v>6663</v>
      </c>
      <c r="L6" s="121">
        <v>4664</v>
      </c>
      <c r="M6" s="121">
        <v>1733</v>
      </c>
      <c r="N6" s="144" t="s">
        <v>287</v>
      </c>
      <c r="O6" s="151" t="s">
        <v>66</v>
      </c>
      <c r="P6" s="186">
        <f>K6/0.2</f>
        <v>33315</v>
      </c>
      <c r="Q6" s="144"/>
      <c r="R6" s="144"/>
      <c r="S6" s="144"/>
      <c r="T6" s="144"/>
      <c r="U6" s="144"/>
      <c r="V6" s="121">
        <v>6777</v>
      </c>
      <c r="W6" s="121">
        <v>4743</v>
      </c>
      <c r="X6" s="121">
        <v>1762</v>
      </c>
      <c r="Y6" s="144" t="s">
        <v>287</v>
      </c>
      <c r="Z6" s="144"/>
      <c r="AA6" s="151" t="s">
        <v>66</v>
      </c>
      <c r="AB6" s="186">
        <f>V6/0.2</f>
        <v>33885</v>
      </c>
      <c r="AC6" s="144"/>
      <c r="AD6" s="144"/>
      <c r="AE6" s="144"/>
      <c r="AF6" s="144"/>
      <c r="AG6" s="144"/>
      <c r="AH6" s="121">
        <v>6890</v>
      </c>
      <c r="AI6" s="121">
        <v>4822</v>
      </c>
      <c r="AJ6" s="121">
        <v>1791</v>
      </c>
      <c r="AK6" s="144" t="s">
        <v>287</v>
      </c>
      <c r="AL6" s="144"/>
      <c r="AM6" s="151" t="s">
        <v>66</v>
      </c>
      <c r="AN6" s="186">
        <f>AH6/0.2</f>
        <v>34450</v>
      </c>
      <c r="AO6" s="144"/>
      <c r="AP6" s="144"/>
      <c r="AQ6" s="144"/>
      <c r="AR6" s="144"/>
      <c r="AS6" s="144"/>
      <c r="AT6" s="121">
        <v>7097</v>
      </c>
      <c r="AU6" s="121">
        <v>4967</v>
      </c>
      <c r="AV6" s="121">
        <v>1845</v>
      </c>
      <c r="AW6" s="144" t="s">
        <v>287</v>
      </c>
      <c r="AX6" s="144"/>
      <c r="AY6" s="151" t="s">
        <v>66</v>
      </c>
      <c r="AZ6" s="186">
        <f>AT6/0.2</f>
        <v>35485</v>
      </c>
      <c r="BA6" s="144"/>
      <c r="BB6" s="144"/>
      <c r="BC6" s="144"/>
      <c r="BD6" s="144"/>
      <c r="BE6" s="144"/>
      <c r="BF6" s="271">
        <f t="shared" si="0"/>
        <v>7377</v>
      </c>
      <c r="BG6" s="271">
        <f t="shared" si="0"/>
        <v>5177</v>
      </c>
      <c r="BH6" s="271">
        <f t="shared" si="0"/>
        <v>1915</v>
      </c>
      <c r="BI6" s="144" t="s">
        <v>287</v>
      </c>
      <c r="BJ6" s="144"/>
      <c r="BK6" s="151" t="s">
        <v>66</v>
      </c>
      <c r="BL6" s="186">
        <f>BF6/0.2</f>
        <v>36885</v>
      </c>
      <c r="BM6" s="144"/>
      <c r="BN6" s="144"/>
      <c r="BO6" s="144"/>
      <c r="BP6" s="144"/>
      <c r="BR6" s="295">
        <f t="shared" ref="BR6" si="3">BF6*1.05</f>
        <v>7745.85</v>
      </c>
      <c r="BS6" s="295">
        <f t="shared" si="1"/>
        <v>5435.85</v>
      </c>
      <c r="BT6" s="295">
        <f t="shared" si="2"/>
        <v>2010.75</v>
      </c>
      <c r="BU6" s="144" t="s">
        <v>287</v>
      </c>
      <c r="BV6" s="144"/>
      <c r="BW6" s="151" t="s">
        <v>66</v>
      </c>
      <c r="BX6" s="186">
        <f>BR6/0.2</f>
        <v>38729.25</v>
      </c>
      <c r="BY6" s="144"/>
      <c r="BZ6" s="144"/>
      <c r="CA6" s="144"/>
      <c r="CB6" s="144"/>
    </row>
    <row r="7" spans="1:92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277">
        <f>AT6/0.2</f>
        <v>35485</v>
      </c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277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R7" s="277"/>
      <c r="BS7" s="144"/>
      <c r="BT7" s="144"/>
      <c r="BU7" s="144"/>
      <c r="BV7" s="144"/>
      <c r="BW7" s="144"/>
      <c r="BX7" s="144"/>
      <c r="BY7" s="144"/>
      <c r="BZ7" s="144"/>
      <c r="CA7" s="144"/>
      <c r="CB7" s="144"/>
    </row>
    <row r="8" spans="1:92">
      <c r="A8" s="144"/>
      <c r="B8" s="151" t="s">
        <v>68</v>
      </c>
      <c r="C8" s="187"/>
      <c r="D8" s="144"/>
      <c r="E8" s="144"/>
      <c r="F8" s="188">
        <v>0.13800000000000001</v>
      </c>
      <c r="G8" s="144"/>
      <c r="H8" s="144"/>
      <c r="I8" s="144"/>
      <c r="J8" s="144"/>
      <c r="K8" s="144"/>
      <c r="L8" s="144"/>
      <c r="M8" s="188">
        <v>0.13800000000000001</v>
      </c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88">
        <v>0.13800000000000001</v>
      </c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88">
        <v>0.13800000000000001</v>
      </c>
      <c r="AL8" s="144"/>
      <c r="AM8" s="144"/>
      <c r="AN8" s="144"/>
      <c r="AO8" s="144"/>
      <c r="AP8" s="144"/>
      <c r="AQ8" s="144"/>
      <c r="AR8" s="144"/>
      <c r="AS8" s="144"/>
      <c r="AT8" s="270">
        <v>0.03</v>
      </c>
      <c r="AU8" s="144"/>
      <c r="AV8" s="144"/>
      <c r="AW8" s="275">
        <v>0.13800000000000001</v>
      </c>
      <c r="AX8" s="144"/>
      <c r="AY8" s="144"/>
      <c r="AZ8" s="144"/>
      <c r="BA8" s="144"/>
      <c r="BB8" s="144"/>
      <c r="BC8" s="144"/>
      <c r="BD8" s="144"/>
      <c r="BE8" s="144"/>
      <c r="BF8" s="270">
        <v>0.04</v>
      </c>
      <c r="BG8" s="144"/>
      <c r="BH8" s="144"/>
      <c r="BI8" s="275">
        <f>AW8+1.25%</f>
        <v>0.15050000000000002</v>
      </c>
      <c r="BJ8" s="144"/>
      <c r="BK8" s="144"/>
      <c r="BL8" s="144"/>
      <c r="BM8" s="144"/>
      <c r="BN8" s="144"/>
      <c r="BO8" s="144"/>
      <c r="BP8" s="144"/>
      <c r="BR8" s="185">
        <v>0.05</v>
      </c>
      <c r="BS8" s="144"/>
      <c r="BT8" s="144"/>
      <c r="BU8" s="275">
        <f>BI8-1.25%</f>
        <v>0.13800000000000001</v>
      </c>
      <c r="BV8" s="144"/>
      <c r="BW8" s="144"/>
      <c r="BX8" s="144"/>
      <c r="BY8" s="144"/>
      <c r="BZ8" s="144"/>
      <c r="CA8" s="144"/>
      <c r="CB8" s="144"/>
      <c r="CI8" s="144"/>
      <c r="CJ8" s="275">
        <v>0.15</v>
      </c>
      <c r="CM8" s="329">
        <v>0</v>
      </c>
    </row>
    <row r="9" spans="1:92">
      <c r="A9" s="144"/>
      <c r="B9" s="151" t="s">
        <v>69</v>
      </c>
      <c r="C9" s="144"/>
      <c r="D9" s="189"/>
      <c r="E9" s="144"/>
      <c r="F9" s="188">
        <v>0</v>
      </c>
      <c r="G9" s="144"/>
      <c r="H9" s="144"/>
      <c r="I9" s="144"/>
      <c r="J9" s="144"/>
      <c r="K9" s="189"/>
      <c r="L9" s="144"/>
      <c r="M9" s="188">
        <v>0</v>
      </c>
      <c r="N9" s="144"/>
      <c r="O9" s="144"/>
      <c r="P9" s="144"/>
      <c r="Q9" s="144"/>
      <c r="R9" s="144"/>
      <c r="S9" s="144"/>
      <c r="T9" s="144"/>
      <c r="U9" s="144"/>
      <c r="V9" s="189"/>
      <c r="W9" s="144"/>
      <c r="X9" s="144"/>
      <c r="Y9" s="188">
        <v>0</v>
      </c>
      <c r="Z9" s="144"/>
      <c r="AA9" s="144"/>
      <c r="AB9" s="144"/>
      <c r="AC9" s="144"/>
      <c r="AD9" s="144"/>
      <c r="AE9" s="144"/>
      <c r="AF9" s="144"/>
      <c r="AG9" s="144"/>
      <c r="AH9" s="189"/>
      <c r="AI9" s="144"/>
      <c r="AJ9" s="144"/>
      <c r="AK9" s="188">
        <f>Y9</f>
        <v>0</v>
      </c>
      <c r="AL9" s="144"/>
      <c r="AM9" s="144"/>
      <c r="AN9" s="144"/>
      <c r="AO9" s="144"/>
      <c r="AP9" s="144"/>
      <c r="AQ9" s="144"/>
      <c r="AR9" s="144"/>
      <c r="AS9" s="144"/>
      <c r="AT9" s="189"/>
      <c r="AU9" s="144"/>
      <c r="AV9" s="144"/>
      <c r="AW9" s="188">
        <f>AK9</f>
        <v>0</v>
      </c>
      <c r="AX9" s="144"/>
      <c r="AY9" s="144"/>
      <c r="AZ9" s="144"/>
      <c r="BA9" s="144"/>
      <c r="BB9" s="144"/>
      <c r="BC9" s="144"/>
      <c r="BD9" s="144"/>
      <c r="BE9" s="144"/>
      <c r="BF9" s="271">
        <v>1400</v>
      </c>
      <c r="BG9" s="207">
        <f>BF9/BF8</f>
        <v>35000</v>
      </c>
      <c r="BH9" s="144"/>
      <c r="BI9" s="188">
        <f>AW9</f>
        <v>0</v>
      </c>
      <c r="BJ9" s="144"/>
      <c r="BK9" s="144"/>
      <c r="BL9" s="144"/>
      <c r="BM9" s="144"/>
      <c r="BN9" s="144"/>
      <c r="BO9" s="144"/>
      <c r="BP9" s="144"/>
      <c r="BR9" s="295">
        <v>1400</v>
      </c>
      <c r="BS9" s="207">
        <f>BR9/BR8</f>
        <v>28000</v>
      </c>
      <c r="BT9" s="144"/>
      <c r="BU9" s="188">
        <f>BI9</f>
        <v>0</v>
      </c>
      <c r="BV9" s="144"/>
      <c r="BW9" s="144"/>
      <c r="BX9" s="144"/>
      <c r="BY9" s="144"/>
      <c r="BZ9" s="144"/>
      <c r="CA9" s="144"/>
      <c r="CB9" s="144"/>
      <c r="CI9" s="144"/>
      <c r="CJ9" s="188">
        <f>BW9</f>
        <v>0</v>
      </c>
    </row>
    <row r="10" spans="1:92">
      <c r="A10" s="144"/>
      <c r="B10" s="151" t="s">
        <v>70</v>
      </c>
      <c r="C10" s="190"/>
      <c r="D10" s="144"/>
      <c r="E10" s="144"/>
      <c r="F10" s="186">
        <v>6025</v>
      </c>
      <c r="G10" s="144" t="s">
        <v>286</v>
      </c>
      <c r="H10" s="144"/>
      <c r="I10" s="144"/>
      <c r="J10" s="144"/>
      <c r="K10" s="144"/>
      <c r="L10" s="144"/>
      <c r="M10" s="186">
        <v>6205</v>
      </c>
      <c r="N10" s="144" t="s">
        <v>286</v>
      </c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86">
        <f>M10</f>
        <v>6205</v>
      </c>
      <c r="Z10" s="144" t="s">
        <v>295</v>
      </c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86">
        <f>Y10</f>
        <v>6205</v>
      </c>
      <c r="AL10" s="144" t="s">
        <v>295</v>
      </c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86">
        <f>170*52</f>
        <v>8840</v>
      </c>
      <c r="AX10" s="144" t="s">
        <v>401</v>
      </c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86">
        <f>175*52</f>
        <v>9100</v>
      </c>
      <c r="BJ10" s="144" t="s">
        <v>401</v>
      </c>
      <c r="BK10" s="144"/>
      <c r="BL10" s="144"/>
      <c r="BM10" s="144"/>
      <c r="BN10" s="144"/>
      <c r="BO10" s="144"/>
      <c r="BP10" s="144"/>
      <c r="BR10" s="144"/>
      <c r="BS10" s="144"/>
      <c r="BT10" s="148" t="s">
        <v>331</v>
      </c>
      <c r="BU10" s="186">
        <f>175*52</f>
        <v>9100</v>
      </c>
      <c r="BV10" s="144" t="s">
        <v>401</v>
      </c>
      <c r="BW10" s="144"/>
      <c r="BX10" s="144"/>
      <c r="BY10" s="144"/>
      <c r="BZ10" s="144"/>
      <c r="CA10" s="144"/>
      <c r="CB10" s="144"/>
      <c r="CI10" s="148" t="s">
        <v>331</v>
      </c>
      <c r="CJ10" s="296">
        <v>5000</v>
      </c>
    </row>
    <row r="11" spans="1:92" hidden="1" outlineLevel="1">
      <c r="A11" s="144"/>
      <c r="B11" s="151" t="s">
        <v>71</v>
      </c>
      <c r="C11" s="190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</row>
    <row r="12" spans="1:92" hidden="1" outlineLevel="1">
      <c r="A12" s="144"/>
      <c r="B12" s="151" t="s">
        <v>72</v>
      </c>
      <c r="C12" s="190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</row>
    <row r="13" spans="1:92" collapsed="1">
      <c r="A13" s="144"/>
      <c r="B13" s="151" t="s">
        <v>23</v>
      </c>
      <c r="C13" s="144"/>
      <c r="D13" s="144"/>
      <c r="E13" s="144"/>
      <c r="F13" s="144"/>
      <c r="G13" s="144"/>
      <c r="H13" s="191">
        <v>0.14799999999999999</v>
      </c>
      <c r="I13" s="144"/>
      <c r="J13" s="144"/>
      <c r="K13" s="144"/>
      <c r="L13" s="144"/>
      <c r="M13" s="144"/>
      <c r="N13" s="144"/>
      <c r="O13" s="191">
        <f>H13</f>
        <v>0.14799999999999999</v>
      </c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91">
        <f>O13</f>
        <v>0.14799999999999999</v>
      </c>
      <c r="AB13" s="144" t="s">
        <v>295</v>
      </c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91">
        <f>AA13</f>
        <v>0.14799999999999999</v>
      </c>
      <c r="AN13" s="144" t="s">
        <v>295</v>
      </c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276">
        <v>0.14829999999999999</v>
      </c>
      <c r="AZ13" s="144" t="s">
        <v>295</v>
      </c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274">
        <f>AY13+0.5%</f>
        <v>0.15329999999999999</v>
      </c>
      <c r="BL13" s="144" t="s">
        <v>295</v>
      </c>
      <c r="BM13" s="144"/>
      <c r="BN13" s="144"/>
      <c r="BO13" s="144"/>
      <c r="BP13" s="144"/>
      <c r="BR13" s="144"/>
      <c r="BS13" s="144"/>
      <c r="BT13" s="144"/>
      <c r="BU13" s="144"/>
      <c r="BV13" s="144"/>
      <c r="BW13" s="332">
        <f>BK13</f>
        <v>0.15329999999999999</v>
      </c>
      <c r="BX13" s="144" t="s">
        <v>295</v>
      </c>
      <c r="BY13" s="144"/>
      <c r="BZ13" s="144"/>
      <c r="CA13" s="144"/>
      <c r="CB13" s="144"/>
      <c r="CL13" s="275">
        <v>0.14879999999999999</v>
      </c>
      <c r="CM13" s="354" t="s">
        <v>320</v>
      </c>
      <c r="CN13" s="355"/>
    </row>
    <row r="14" spans="1:92" ht="25.5" customHeight="1" thickBot="1">
      <c r="A14" s="144"/>
      <c r="B14" s="151"/>
      <c r="C14" s="190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L14" s="144" t="s">
        <v>320</v>
      </c>
      <c r="BM14" s="144"/>
      <c r="BN14" s="144"/>
      <c r="BO14" s="144"/>
      <c r="BP14" s="144"/>
      <c r="BR14" s="144"/>
      <c r="BS14" s="144"/>
      <c r="BT14" s="144"/>
      <c r="BU14" s="144"/>
      <c r="BV14" s="144"/>
      <c r="BX14" s="144" t="s">
        <v>320</v>
      </c>
      <c r="BY14" s="144"/>
      <c r="BZ14" s="144"/>
      <c r="CA14" s="144"/>
      <c r="CB14" s="144"/>
    </row>
    <row r="15" spans="1:92" s="20" customFormat="1" ht="39" outlineLevel="1">
      <c r="A15" s="192"/>
      <c r="B15" s="193" t="s">
        <v>252</v>
      </c>
      <c r="C15" s="193" t="s">
        <v>254</v>
      </c>
      <c r="D15" s="194" t="str">
        <f>"Basic "&amp;D2</f>
        <v>Basic 2017/18</v>
      </c>
      <c r="E15" s="194" t="s">
        <v>73</v>
      </c>
      <c r="F15" s="195" t="s">
        <v>255</v>
      </c>
      <c r="G15" s="194" t="s">
        <v>261</v>
      </c>
      <c r="H15" s="194" t="s">
        <v>23</v>
      </c>
      <c r="I15" s="195" t="str">
        <f>"AfC "&amp;D2</f>
        <v>AfC 2017/18</v>
      </c>
      <c r="J15" s="192"/>
      <c r="K15" s="194" t="str">
        <f>"Basic "&amp;K2</f>
        <v>Basic 2018/19</v>
      </c>
      <c r="L15" s="194" t="s">
        <v>73</v>
      </c>
      <c r="M15" s="195" t="s">
        <v>255</v>
      </c>
      <c r="N15" s="194" t="s">
        <v>261</v>
      </c>
      <c r="O15" s="194" t="s">
        <v>23</v>
      </c>
      <c r="P15" s="195" t="str">
        <f>"AfC "&amp;K2</f>
        <v>AfC 2018/19</v>
      </c>
      <c r="Q15" s="192"/>
      <c r="R15" s="194" t="s">
        <v>289</v>
      </c>
      <c r="S15" s="194" t="s">
        <v>288</v>
      </c>
      <c r="T15" s="194" t="s">
        <v>294</v>
      </c>
      <c r="U15" s="192"/>
      <c r="V15" s="194" t="str">
        <f>"Basic "&amp;V2</f>
        <v>Basic 2019/20</v>
      </c>
      <c r="W15" s="194" t="s">
        <v>73</v>
      </c>
      <c r="X15" s="194" t="s">
        <v>282</v>
      </c>
      <c r="Y15" s="195" t="s">
        <v>255</v>
      </c>
      <c r="Z15" s="194" t="s">
        <v>261</v>
      </c>
      <c r="AA15" s="194" t="s">
        <v>23</v>
      </c>
      <c r="AB15" s="195" t="str">
        <f>"AfC "&amp;V2</f>
        <v>AfC 2019/20</v>
      </c>
      <c r="AC15" s="192"/>
      <c r="AD15" s="194" t="s">
        <v>291</v>
      </c>
      <c r="AE15" s="194" t="s">
        <v>293</v>
      </c>
      <c r="AF15" s="194" t="s">
        <v>292</v>
      </c>
      <c r="AG15" s="192"/>
      <c r="AH15" s="194" t="str">
        <f>"Basic "&amp;AH2</f>
        <v>Basic 2020/21</v>
      </c>
      <c r="AI15" s="194" t="s">
        <v>73</v>
      </c>
      <c r="AJ15" s="194" t="s">
        <v>281</v>
      </c>
      <c r="AK15" s="195" t="s">
        <v>255</v>
      </c>
      <c r="AL15" s="194" t="s">
        <v>261</v>
      </c>
      <c r="AM15" s="194" t="s">
        <v>23</v>
      </c>
      <c r="AN15" s="195" t="str">
        <f>"AfC "&amp;AH2</f>
        <v>AfC 2020/21</v>
      </c>
      <c r="AO15" s="192"/>
      <c r="AP15" s="194" t="s">
        <v>296</v>
      </c>
      <c r="AQ15" s="194" t="s">
        <v>297</v>
      </c>
      <c r="AR15" s="194" t="s">
        <v>298</v>
      </c>
      <c r="AS15" s="192"/>
      <c r="AT15" s="194" t="str">
        <f>"Basic "&amp;AT2</f>
        <v>Basic 2021/22</v>
      </c>
      <c r="AU15" s="194" t="s">
        <v>73</v>
      </c>
      <c r="AV15" s="194" t="s">
        <v>281</v>
      </c>
      <c r="AW15" s="195" t="s">
        <v>255</v>
      </c>
      <c r="AX15" s="194" t="s">
        <v>261</v>
      </c>
      <c r="AY15" s="194" t="s">
        <v>23</v>
      </c>
      <c r="AZ15" s="195" t="str">
        <f>"AfC "&amp;AT2</f>
        <v>AfC 2021/22</v>
      </c>
      <c r="BA15" s="192"/>
      <c r="BB15" s="194" t="s">
        <v>315</v>
      </c>
      <c r="BC15" s="194" t="s">
        <v>316</v>
      </c>
      <c r="BD15" s="194" t="s">
        <v>317</v>
      </c>
      <c r="BE15" s="192"/>
      <c r="BF15" s="194" t="str">
        <f>"Basic "&amp;BF2</f>
        <v>Basic 2022/23</v>
      </c>
      <c r="BG15" s="194" t="s">
        <v>73</v>
      </c>
      <c r="BH15" s="194" t="s">
        <v>281</v>
      </c>
      <c r="BI15" s="195" t="s">
        <v>255</v>
      </c>
      <c r="BJ15" s="194" t="s">
        <v>261</v>
      </c>
      <c r="BK15" s="194" t="s">
        <v>321</v>
      </c>
      <c r="BL15" s="195" t="str">
        <f>"AfC "&amp;BF2</f>
        <v>AfC 2022/23</v>
      </c>
      <c r="BM15" s="192"/>
      <c r="BN15" s="194" t="s">
        <v>324</v>
      </c>
      <c r="BO15" s="194" t="s">
        <v>325</v>
      </c>
      <c r="BP15" s="194" t="s">
        <v>326</v>
      </c>
      <c r="BR15" s="194" t="str">
        <f>"Basic "&amp;BR2</f>
        <v>Basic 2023/24</v>
      </c>
      <c r="BS15" s="194" t="s">
        <v>73</v>
      </c>
      <c r="BT15" s="194" t="s">
        <v>281</v>
      </c>
      <c r="BU15" s="195" t="s">
        <v>255</v>
      </c>
      <c r="BV15" s="194" t="s">
        <v>261</v>
      </c>
      <c r="BW15" s="194" t="s">
        <v>321</v>
      </c>
      <c r="BX15" s="195" t="str">
        <f>"AfC "&amp;BR2</f>
        <v>AfC 2023/24</v>
      </c>
      <c r="BY15" s="192"/>
      <c r="BZ15" s="194" t="s">
        <v>328</v>
      </c>
      <c r="CA15" s="194" t="s">
        <v>329</v>
      </c>
      <c r="CB15" s="194" t="s">
        <v>330</v>
      </c>
      <c r="CD15" s="193" t="s">
        <v>252</v>
      </c>
      <c r="CE15" s="313" t="s">
        <v>397</v>
      </c>
      <c r="CF15" s="314" t="s">
        <v>398</v>
      </c>
      <c r="CG15" s="314" t="s">
        <v>399</v>
      </c>
      <c r="CH15" s="315" t="s">
        <v>518</v>
      </c>
      <c r="CI15" s="594" t="s">
        <v>400</v>
      </c>
      <c r="CJ15" s="595"/>
      <c r="CK15" s="194" t="s">
        <v>261</v>
      </c>
      <c r="CL15" s="194" t="s">
        <v>321</v>
      </c>
      <c r="CM15" s="194" t="s">
        <v>396</v>
      </c>
      <c r="CN15" s="195" t="str">
        <f>"AfC "&amp;CE2</f>
        <v>AfC 25/26</v>
      </c>
    </row>
    <row r="16" spans="1:92" ht="12.75" customHeight="1" outlineLevel="1">
      <c r="A16" s="144"/>
      <c r="B16" s="196" t="s">
        <v>11</v>
      </c>
      <c r="C16" s="197" t="s">
        <v>74</v>
      </c>
      <c r="D16" s="123"/>
      <c r="E16" s="123"/>
      <c r="F16" s="124"/>
      <c r="G16" s="123"/>
      <c r="H16" s="123"/>
      <c r="I16" s="125"/>
      <c r="J16" s="144"/>
      <c r="K16" s="138"/>
      <c r="L16" s="123"/>
      <c r="M16" s="124"/>
      <c r="N16" s="123"/>
      <c r="O16" s="123"/>
      <c r="P16" s="125"/>
      <c r="Q16" s="144"/>
      <c r="R16" s="138"/>
      <c r="S16" s="178"/>
      <c r="T16" s="181"/>
      <c r="U16" s="144"/>
      <c r="V16" s="138"/>
      <c r="W16" s="123"/>
      <c r="X16" s="123"/>
      <c r="Y16" s="124"/>
      <c r="Z16" s="123"/>
      <c r="AA16" s="123"/>
      <c r="AB16" s="125"/>
      <c r="AC16" s="144"/>
      <c r="AD16" s="138"/>
      <c r="AE16" s="178"/>
      <c r="AF16" s="181"/>
      <c r="AG16" s="144"/>
      <c r="AH16" s="138"/>
      <c r="AI16" s="123"/>
      <c r="AJ16" s="123"/>
      <c r="AK16" s="124"/>
      <c r="AL16" s="123"/>
      <c r="AM16" s="123"/>
      <c r="AN16" s="125"/>
      <c r="AO16" s="144"/>
      <c r="AP16" s="138"/>
      <c r="AQ16" s="178"/>
      <c r="AR16" s="181"/>
      <c r="AS16" s="144"/>
      <c r="AT16" s="138"/>
      <c r="AU16" s="123"/>
      <c r="AV16" s="123"/>
      <c r="AW16" s="124"/>
      <c r="AX16" s="123"/>
      <c r="AY16" s="123"/>
      <c r="AZ16" s="125"/>
      <c r="BA16" s="144"/>
      <c r="BB16" s="138"/>
      <c r="BC16" s="178"/>
      <c r="BD16" s="181"/>
      <c r="BE16" s="144"/>
      <c r="BF16" s="138"/>
      <c r="BG16" s="123"/>
      <c r="BH16" s="123"/>
      <c r="BI16" s="124"/>
      <c r="BJ16" s="123"/>
      <c r="BK16" s="123"/>
      <c r="BL16" s="125"/>
      <c r="BM16" s="144"/>
      <c r="BN16" s="138"/>
      <c r="BO16" s="178"/>
      <c r="BP16" s="181"/>
      <c r="BR16" s="138"/>
      <c r="BS16" s="123"/>
      <c r="BT16" s="123"/>
      <c r="BU16" s="124"/>
      <c r="BV16" s="123"/>
      <c r="BW16" s="123"/>
      <c r="BX16" s="125"/>
      <c r="BY16" s="144"/>
      <c r="BZ16" s="138"/>
      <c r="CA16" s="178"/>
      <c r="CB16" s="181"/>
      <c r="CD16" s="131"/>
    </row>
    <row r="17" spans="1:92" ht="13.5" customHeight="1" outlineLevel="1" thickBot="1">
      <c r="A17" s="144"/>
      <c r="B17" s="198" t="s">
        <v>11</v>
      </c>
      <c r="C17" s="199" t="s">
        <v>75</v>
      </c>
      <c r="D17" s="126"/>
      <c r="E17" s="126"/>
      <c r="F17" s="127"/>
      <c r="G17" s="126"/>
      <c r="H17" s="126"/>
      <c r="I17" s="128"/>
      <c r="J17" s="144"/>
      <c r="K17" s="139"/>
      <c r="L17" s="126"/>
      <c r="M17" s="127"/>
      <c r="N17" s="126"/>
      <c r="O17" s="126"/>
      <c r="P17" s="128"/>
      <c r="Q17" s="144"/>
      <c r="R17" s="139"/>
      <c r="S17" s="179"/>
      <c r="T17" s="182"/>
      <c r="U17" s="144"/>
      <c r="V17" s="139"/>
      <c r="W17" s="126"/>
      <c r="X17" s="126"/>
      <c r="Y17" s="127"/>
      <c r="Z17" s="126"/>
      <c r="AA17" s="126"/>
      <c r="AB17" s="128"/>
      <c r="AC17" s="144"/>
      <c r="AD17" s="139"/>
      <c r="AE17" s="179"/>
      <c r="AF17" s="182"/>
      <c r="AG17" s="144"/>
      <c r="AH17" s="139"/>
      <c r="AI17" s="126"/>
      <c r="AJ17" s="126"/>
      <c r="AK17" s="127"/>
      <c r="AL17" s="126"/>
      <c r="AM17" s="126"/>
      <c r="AN17" s="128"/>
      <c r="AO17" s="144"/>
      <c r="AP17" s="139"/>
      <c r="AQ17" s="179"/>
      <c r="AR17" s="182"/>
      <c r="AS17" s="144"/>
      <c r="AT17" s="139">
        <v>18546</v>
      </c>
      <c r="AU17" s="126"/>
      <c r="AV17" s="126"/>
      <c r="AW17" s="127"/>
      <c r="AX17" s="126"/>
      <c r="AY17" s="126"/>
      <c r="AZ17" s="128"/>
      <c r="BA17" s="144"/>
      <c r="BB17" s="139"/>
      <c r="BC17" s="179"/>
      <c r="BD17" s="182"/>
      <c r="BE17" s="144"/>
      <c r="BF17" s="139"/>
      <c r="BG17" s="126"/>
      <c r="BH17" s="126"/>
      <c r="BI17" s="127"/>
      <c r="BJ17" s="126"/>
      <c r="BK17" s="126"/>
      <c r="BL17" s="128"/>
      <c r="BM17" s="144"/>
      <c r="BN17" s="139"/>
      <c r="BO17" s="179"/>
      <c r="BP17" s="182"/>
      <c r="BR17" s="139"/>
      <c r="BS17" s="126"/>
      <c r="BT17" s="126"/>
      <c r="BU17" s="127"/>
      <c r="BV17" s="126"/>
      <c r="BW17" s="126"/>
      <c r="BX17" s="128"/>
      <c r="BY17" s="144"/>
      <c r="BZ17" s="139"/>
      <c r="CA17" s="179"/>
      <c r="CB17" s="182"/>
      <c r="CD17" s="131"/>
    </row>
    <row r="18" spans="1:92" ht="12.75" customHeight="1">
      <c r="A18" s="144"/>
      <c r="B18" s="196" t="s">
        <v>12</v>
      </c>
      <c r="C18" s="197" t="s">
        <v>74</v>
      </c>
      <c r="D18" s="123">
        <v>15404</v>
      </c>
      <c r="E18" s="123">
        <f t="shared" ref="E18:E55" si="4">IF((D18*$D$4)&lt;$D$5,$D$5,IF((D18*$D$4)&gt;$D$6,$D$6,(D18*$D$4)))</f>
        <v>4200</v>
      </c>
      <c r="F18" s="124">
        <f t="shared" ref="F18:F31" si="5">D18+E18</f>
        <v>19604</v>
      </c>
      <c r="G18" s="123">
        <f t="shared" ref="G18:G54" si="6">+(F18-$F$10)*($F$8-$F$9)</f>
        <v>1873.902</v>
      </c>
      <c r="H18" s="123">
        <f t="shared" ref="H18:H54" si="7">+(D18+E18)*H$13</f>
        <v>2901.3919999999998</v>
      </c>
      <c r="I18" s="125">
        <f t="shared" ref="I18:I55" si="8">+SUM(F18:H18)</f>
        <v>24379.294000000002</v>
      </c>
      <c r="J18" s="144"/>
      <c r="K18" s="138">
        <v>17460</v>
      </c>
      <c r="L18" s="123">
        <f t="shared" ref="L18:L54" si="9">IF((K18*$K$4)&lt;$K$5,$K$5,IF((K18*$K$4)&gt;$K$6,$K$6,(K18*$K$4)))</f>
        <v>4326</v>
      </c>
      <c r="M18" s="124">
        <f t="shared" ref="M18:M31" si="10">K18+L18</f>
        <v>21786</v>
      </c>
      <c r="N18" s="123">
        <f t="shared" ref="N18:N54" si="11">+(M18-$M$10)*($M$8-$M$9)</f>
        <v>2150.1780000000003</v>
      </c>
      <c r="O18" s="123">
        <f t="shared" ref="O18:O53" si="12">+(K18+L18)*O$13</f>
        <v>3224.328</v>
      </c>
      <c r="P18" s="125">
        <f t="shared" ref="P18:P55" si="13">+SUM(M18:O18)</f>
        <v>27160.506000000001</v>
      </c>
      <c r="Q18" s="144"/>
      <c r="R18" s="138">
        <f t="shared" ref="R18:R54" si="14">P18-I18</f>
        <v>2781.2119999999995</v>
      </c>
      <c r="S18" s="178">
        <f t="shared" ref="S18:S54" si="15">R18/I18</f>
        <v>0.11408090816739809</v>
      </c>
      <c r="T18" s="181"/>
      <c r="U18" s="144"/>
      <c r="V18" s="138">
        <v>17652</v>
      </c>
      <c r="W18" s="123">
        <f t="shared" ref="W18:W54" si="16">IF((V18*$V$4)&lt;$V$5,$V$5,IF((V18*$V$4)&gt;$V$6,$V$6,(V18*$V$4)))</f>
        <v>4400</v>
      </c>
      <c r="X18" s="123">
        <v>0</v>
      </c>
      <c r="Y18" s="124">
        <f t="shared" ref="Y18:Y53" si="17">V18+W18+X18</f>
        <v>22052</v>
      </c>
      <c r="Z18" s="123">
        <f t="shared" ref="Z18:Z54" si="18">+(Y18-$Y$10)*($Y$8-$Y$9)</f>
        <v>2186.886</v>
      </c>
      <c r="AA18" s="123">
        <f t="shared" ref="AA18:AA55" si="19">+(V18+W18)*AA$13</f>
        <v>3263.6959999999999</v>
      </c>
      <c r="AB18" s="125">
        <f t="shared" ref="AB18:AB55" si="20">+SUM(Y18:AA18)</f>
        <v>27502.581999999999</v>
      </c>
      <c r="AC18" s="144"/>
      <c r="AD18" s="138">
        <f t="shared" ref="AD18:AD33" si="21">AB18-P18</f>
        <v>342.07599999999729</v>
      </c>
      <c r="AE18" s="178">
        <f t="shared" ref="AE18:AE33" si="22">AD18/P18</f>
        <v>1.2594610718960732E-2</v>
      </c>
      <c r="AF18" s="181"/>
      <c r="AG18" s="144"/>
      <c r="AH18" s="138">
        <v>18005</v>
      </c>
      <c r="AI18" s="123">
        <f t="shared" ref="AI18:AI54" si="23">IF((AH18*$AH$4)&lt;$AH$5,$AH$5,IF((AH18*$AH$4)&gt;$AH$6,$AH$6,(AH18*$AH$4)))</f>
        <v>4473</v>
      </c>
      <c r="AJ18" s="123">
        <v>0</v>
      </c>
      <c r="AK18" s="124">
        <f t="shared" ref="AK18:AK54" si="24">AH18+AI18+AJ18</f>
        <v>22478</v>
      </c>
      <c r="AL18" s="123">
        <f t="shared" ref="AL18:AL54" si="25">+(AK18-$AK$10)*($AK$8-$AK$9)</f>
        <v>2245.674</v>
      </c>
      <c r="AM18" s="123">
        <f t="shared" ref="AM18:AM55" si="26">+(AH18+AI18)*AM$13</f>
        <v>3326.7439999999997</v>
      </c>
      <c r="AN18" s="125">
        <f t="shared" ref="AN18:AN55" si="27">+SUM(AK18:AM18)</f>
        <v>28050.417999999998</v>
      </c>
      <c r="AO18" s="144"/>
      <c r="AP18" s="138">
        <f t="shared" ref="AP18:AP33" si="28">AN18-AB18</f>
        <v>547.83599999999933</v>
      </c>
      <c r="AQ18" s="178">
        <f t="shared" ref="AQ18:AQ33" si="29">AP18/AB18</f>
        <v>1.9919438836688109E-2</v>
      </c>
      <c r="AR18" s="181"/>
      <c r="AS18" s="144"/>
      <c r="AT18" s="138">
        <v>18870</v>
      </c>
      <c r="AU18" s="123">
        <f>IF((AT18*$AT$4)&lt;$AT$5,$AT$5,IF((AT18*$AT$4)&gt;$AT$6,$AT$6,(AT18*$AT$4)))</f>
        <v>4608</v>
      </c>
      <c r="AV18" s="123">
        <v>0</v>
      </c>
      <c r="AW18" s="124">
        <f t="shared" ref="AW18:AW55" si="30">AT18+AU18+AV18</f>
        <v>23478</v>
      </c>
      <c r="AX18" s="123">
        <f t="shared" ref="AX18" si="31">+(AW18-$AW$10)*($AW$8-$AW$9)</f>
        <v>2020.0440000000001</v>
      </c>
      <c r="AY18" s="123">
        <f t="shared" ref="AY18:AY55" si="32">+(AT18+AU18)*AY$13</f>
        <v>3481.7873999999997</v>
      </c>
      <c r="AZ18" s="125">
        <f t="shared" ref="AZ18:AZ55" si="33">+SUM(AW18:AY18)</f>
        <v>28979.831400000003</v>
      </c>
      <c r="BA18" s="144"/>
      <c r="BB18" s="138">
        <f t="shared" ref="BB18:BB55" si="34">AZ18-AN18</f>
        <v>929.41340000000491</v>
      </c>
      <c r="BC18" s="178">
        <f t="shared" ref="BC18:BC55" si="35">BB18/AN18</f>
        <v>3.3133673801224818E-2</v>
      </c>
      <c r="BD18" s="181"/>
      <c r="BE18" s="207">
        <f>BF18-AT18</f>
        <v>1400</v>
      </c>
      <c r="BF18" s="138">
        <f>IF(AT18+$BF$9&gt;AT18*(1+$BF$8),AT18+$BF$9,AT18*(1+$BF$8))</f>
        <v>20270</v>
      </c>
      <c r="BG18" s="123">
        <f>IF((BF18*$BF$4)&lt;$BF$5,$BF$5,IF((BF18*$BF$4)&gt;$BF$6,$BF$6,(BF18*$BF$4)))</f>
        <v>4888</v>
      </c>
      <c r="BH18" s="123">
        <v>0</v>
      </c>
      <c r="BI18" s="124">
        <f t="shared" ref="BI18:BI55" si="36">BF18+BG18+BH18</f>
        <v>25158</v>
      </c>
      <c r="BJ18" s="123">
        <f>+(BI18-$BI$10)*($BI$8-$BI$9)</f>
        <v>2416.7290000000003</v>
      </c>
      <c r="BK18" s="123">
        <f t="shared" ref="BK18:BK55" si="37">+(BF18+BG18)*BK$13</f>
        <v>3856.7213999999999</v>
      </c>
      <c r="BL18" s="125">
        <f t="shared" ref="BL18:BL55" si="38">+SUM(BI18:BK18)</f>
        <v>31431.450399999998</v>
      </c>
      <c r="BM18" s="144"/>
      <c r="BN18" s="138">
        <f t="shared" ref="BN18:BN55" si="39">BL18-AZ18</f>
        <v>2451.6189999999951</v>
      </c>
      <c r="BO18" s="178">
        <f t="shared" ref="BO18:BO55" si="40">BN18/AZ18</f>
        <v>8.4597421087825753E-2</v>
      </c>
      <c r="BP18" s="181"/>
      <c r="BQ18" s="285">
        <f>BR18/BF18-1</f>
        <v>0.1042427232363099</v>
      </c>
      <c r="BR18" s="138">
        <v>22383</v>
      </c>
      <c r="BS18" s="123">
        <f>IF((BR18*$BR$4)&lt;$BR$5,$BR$5,IF((BR18*$BR$4)&gt;$BR$6,$BR$6,(BR18*$BR$4)))</f>
        <v>5132.4000000000005</v>
      </c>
      <c r="BT18" s="123">
        <v>0</v>
      </c>
      <c r="BU18" s="124">
        <f t="shared" ref="BU18:BU55" si="41">BR18+BS18+BT18</f>
        <v>27515.4</v>
      </c>
      <c r="BV18" s="123">
        <f>+(BU18-$BU$10)*($BU$8-$BU$9)</f>
        <v>2541.3252000000002</v>
      </c>
      <c r="BW18" s="123">
        <f t="shared" ref="BW18:BW55" si="42">+(BR18+BS18)*BW$13</f>
        <v>4218.1108199999999</v>
      </c>
      <c r="BX18" s="125">
        <f t="shared" ref="BX18:BX55" si="43">+SUM(BU18:BW18)</f>
        <v>34274.836020000002</v>
      </c>
      <c r="BY18" s="291">
        <f t="shared" ref="BY18:BY21" si="44">BX18/BU18-1</f>
        <v>0.24566010379641945</v>
      </c>
      <c r="BZ18" s="138">
        <f t="shared" ref="BZ18:BZ55" si="45">BX18-BL18</f>
        <v>2843.3856200000046</v>
      </c>
      <c r="CA18" s="178">
        <f t="shared" ref="CA18:CA55" si="46">BZ18/BL18</f>
        <v>9.0463073889838846E-2</v>
      </c>
      <c r="CB18" s="181"/>
      <c r="CD18" s="196" t="s">
        <v>12</v>
      </c>
      <c r="CE18" s="304" t="s">
        <v>336</v>
      </c>
      <c r="CF18" s="305" t="s">
        <v>337</v>
      </c>
      <c r="CG18" s="306" t="s">
        <v>338</v>
      </c>
      <c r="CH18" s="307">
        <v>24086.28</v>
      </c>
      <c r="CI18" s="307">
        <v>5522.28</v>
      </c>
      <c r="CJ18" s="316">
        <v>29608.559999999998</v>
      </c>
      <c r="CK18" s="320">
        <f>+(CJ18-$CJ$10)*($CJ$8-$CJ$9)</f>
        <v>3691.2839999999997</v>
      </c>
      <c r="CL18" s="321">
        <f>+(CH18+CI18)*$CL$13</f>
        <v>4405.7537279999997</v>
      </c>
      <c r="CM18" s="321">
        <f>SUM(CJ18:CL18)*$CM$8</f>
        <v>0</v>
      </c>
      <c r="CN18" s="322">
        <f>SUM(CJ18:CM18)</f>
        <v>37705.597727999993</v>
      </c>
    </row>
    <row r="19" spans="1:92" ht="12.75" customHeight="1" thickBot="1">
      <c r="A19" s="144"/>
      <c r="B19" s="198" t="s">
        <v>12</v>
      </c>
      <c r="C19" s="199" t="s">
        <v>77</v>
      </c>
      <c r="D19" s="126">
        <v>18157</v>
      </c>
      <c r="E19" s="126">
        <f t="shared" si="4"/>
        <v>4200</v>
      </c>
      <c r="F19" s="127">
        <f t="shared" si="5"/>
        <v>22357</v>
      </c>
      <c r="G19" s="126">
        <f t="shared" si="6"/>
        <v>2253.8160000000003</v>
      </c>
      <c r="H19" s="126">
        <f t="shared" si="7"/>
        <v>3308.8359999999998</v>
      </c>
      <c r="I19" s="128">
        <f t="shared" si="8"/>
        <v>27919.651999999998</v>
      </c>
      <c r="J19" s="144"/>
      <c r="K19" s="139">
        <v>18702</v>
      </c>
      <c r="L19" s="126">
        <f t="shared" si="9"/>
        <v>4326</v>
      </c>
      <c r="M19" s="127">
        <f t="shared" si="10"/>
        <v>23028</v>
      </c>
      <c r="N19" s="126">
        <f t="shared" si="11"/>
        <v>2321.5740000000001</v>
      </c>
      <c r="O19" s="126">
        <f t="shared" si="12"/>
        <v>3408.1439999999998</v>
      </c>
      <c r="P19" s="128">
        <f t="shared" si="13"/>
        <v>28757.718000000001</v>
      </c>
      <c r="Q19" s="144"/>
      <c r="R19" s="139">
        <f t="shared" si="14"/>
        <v>838.06600000000253</v>
      </c>
      <c r="S19" s="179">
        <f t="shared" si="15"/>
        <v>3.0017064682611467E-2</v>
      </c>
      <c r="T19" s="182">
        <f>SUM(R18:R19)/SUM(I18:I19)</f>
        <v>6.9203650872811134E-2</v>
      </c>
      <c r="U19" s="144"/>
      <c r="V19" s="139">
        <v>19020</v>
      </c>
      <c r="W19" s="126">
        <f t="shared" si="16"/>
        <v>4400</v>
      </c>
      <c r="X19" s="126">
        <v>209</v>
      </c>
      <c r="Y19" s="127">
        <f t="shared" si="17"/>
        <v>23629</v>
      </c>
      <c r="Z19" s="126">
        <f t="shared" si="18"/>
        <v>2404.5120000000002</v>
      </c>
      <c r="AA19" s="126">
        <f t="shared" si="19"/>
        <v>3466.16</v>
      </c>
      <c r="AB19" s="128">
        <f t="shared" si="20"/>
        <v>29499.671999999999</v>
      </c>
      <c r="AC19" s="144"/>
      <c r="AD19" s="139">
        <f t="shared" si="21"/>
        <v>741.9539999999979</v>
      </c>
      <c r="AE19" s="179">
        <f t="shared" si="22"/>
        <v>2.5800169540573348E-2</v>
      </c>
      <c r="AF19" s="182">
        <f>SUM(AD18:AD19)/SUM(P18:P19)</f>
        <v>1.938598765225439E-2</v>
      </c>
      <c r="AG19" s="144"/>
      <c r="AH19" s="139">
        <v>19337</v>
      </c>
      <c r="AI19" s="126">
        <f t="shared" si="23"/>
        <v>4473</v>
      </c>
      <c r="AJ19" s="126">
        <v>0</v>
      </c>
      <c r="AK19" s="127">
        <f t="shared" si="24"/>
        <v>23810</v>
      </c>
      <c r="AL19" s="126">
        <f t="shared" si="25"/>
        <v>2429.4900000000002</v>
      </c>
      <c r="AM19" s="126">
        <f t="shared" si="26"/>
        <v>3523.8799999999997</v>
      </c>
      <c r="AN19" s="128">
        <f t="shared" si="27"/>
        <v>29763.370000000003</v>
      </c>
      <c r="AO19" s="144"/>
      <c r="AP19" s="139">
        <f t="shared" si="28"/>
        <v>263.69800000000396</v>
      </c>
      <c r="AQ19" s="179">
        <f t="shared" si="29"/>
        <v>8.9390146439595666E-3</v>
      </c>
      <c r="AR19" s="182">
        <f>SUM(AP18:AP19)/SUM(AB18:AB19)</f>
        <v>1.4236875615480106E-2</v>
      </c>
      <c r="AS19" s="144"/>
      <c r="AT19" s="139" t="e">
        <f>#REF!</f>
        <v>#REF!</v>
      </c>
      <c r="AU19" s="126" t="e">
        <f t="shared" ref="AU19:AU56" si="47">IF((AT19*$AT$4)&lt;$AT$5,$AT$5,IF((AT19*$AT$4)&gt;$AT$6,$AT$6,(AT19*$AT$4)))</f>
        <v>#REF!</v>
      </c>
      <c r="AV19" s="126">
        <v>0</v>
      </c>
      <c r="AW19" s="127" t="e">
        <f t="shared" si="30"/>
        <v>#REF!</v>
      </c>
      <c r="AX19" s="126" t="e">
        <f t="shared" ref="AX19:AX57" si="48">+(AW19-$AW$10)*($AW$8-$AW$9)</f>
        <v>#REF!</v>
      </c>
      <c r="AY19" s="126" t="e">
        <f t="shared" si="32"/>
        <v>#REF!</v>
      </c>
      <c r="AZ19" s="128" t="e">
        <f t="shared" si="33"/>
        <v>#REF!</v>
      </c>
      <c r="BA19" s="144"/>
      <c r="BB19" s="139" t="e">
        <f t="shared" si="34"/>
        <v>#REF!</v>
      </c>
      <c r="BC19" s="179" t="e">
        <f t="shared" si="35"/>
        <v>#REF!</v>
      </c>
      <c r="BD19" s="182" t="e">
        <f>SUM(BB18:BB19)/SUM(AN18:AN19)</f>
        <v>#REF!</v>
      </c>
      <c r="BE19" s="207" t="e">
        <f t="shared" ref="BE19:BE56" si="49">BF19-AT19</f>
        <v>#REF!</v>
      </c>
      <c r="BF19" s="139" t="e">
        <f t="shared" ref="BF19:BF41" si="50">IF(AT19+$BF$9&gt;AT19*(1+$BF$8),AT19+$BF$9,AT19*(1+$BF$8))</f>
        <v>#REF!</v>
      </c>
      <c r="BG19" s="126" t="e">
        <f t="shared" ref="BG19:BG56" si="51">IF((BF19*$BF$4)&lt;$BF$5,$BF$5,IF((BF19*$BF$4)&gt;$BF$6,$BF$6,(BF19*$BF$4)))</f>
        <v>#REF!</v>
      </c>
      <c r="BH19" s="126">
        <v>0</v>
      </c>
      <c r="BI19" s="127" t="e">
        <f t="shared" si="36"/>
        <v>#REF!</v>
      </c>
      <c r="BJ19" s="126" t="e">
        <f t="shared" ref="BJ19:BJ56" si="52">+(BI19-$BI$10)*($BI$8-$BI$9)</f>
        <v>#REF!</v>
      </c>
      <c r="BK19" s="126" t="e">
        <f t="shared" si="37"/>
        <v>#REF!</v>
      </c>
      <c r="BL19" s="128" t="e">
        <f t="shared" si="38"/>
        <v>#REF!</v>
      </c>
      <c r="BM19" s="144"/>
      <c r="BN19" s="139" t="e">
        <f t="shared" si="39"/>
        <v>#REF!</v>
      </c>
      <c r="BO19" s="179" t="e">
        <f t="shared" si="40"/>
        <v>#REF!</v>
      </c>
      <c r="BP19" s="182" t="e">
        <f>SUM(BN18:BN19)/SUM(AZ18:AZ19)</f>
        <v>#REF!</v>
      </c>
      <c r="BR19" s="139" t="e">
        <f>#REF!</f>
        <v>#REF!</v>
      </c>
      <c r="BS19" s="126" t="e">
        <f t="shared" ref="BS19:BS56" si="53">IF((BR19*$BR$4)&lt;$BR$5,$BR$5,IF((BR19*$BR$4)&gt;$BR$6,$BR$6,(BR19*$BR$4)))</f>
        <v>#REF!</v>
      </c>
      <c r="BT19" s="126">
        <v>0</v>
      </c>
      <c r="BU19" s="127" t="e">
        <f t="shared" si="41"/>
        <v>#REF!</v>
      </c>
      <c r="BV19" s="126" t="e">
        <f t="shared" ref="BV19:BV56" si="54">+(BU19-$BU$10)*($BU$8-$BU$9)</f>
        <v>#REF!</v>
      </c>
      <c r="BW19" s="126" t="e">
        <f t="shared" si="42"/>
        <v>#REF!</v>
      </c>
      <c r="BX19" s="128" t="e">
        <f t="shared" si="43"/>
        <v>#REF!</v>
      </c>
      <c r="BY19" s="291" t="e">
        <f t="shared" si="44"/>
        <v>#REF!</v>
      </c>
      <c r="BZ19" s="139" t="e">
        <f t="shared" si="45"/>
        <v>#REF!</v>
      </c>
      <c r="CA19" s="179" t="e">
        <f t="shared" si="46"/>
        <v>#REF!</v>
      </c>
      <c r="CB19" s="182" t="e">
        <f>SUM(BZ18:BZ19)/SUM(BL18:BL19)</f>
        <v>#REF!</v>
      </c>
      <c r="CD19" s="198" t="s">
        <v>12</v>
      </c>
      <c r="CE19" s="308" t="s">
        <v>342</v>
      </c>
      <c r="CF19" s="309" t="s">
        <v>343</v>
      </c>
      <c r="CG19" s="310" t="s">
        <v>344</v>
      </c>
      <c r="CH19" s="311">
        <v>24086.28</v>
      </c>
      <c r="CI19" s="311">
        <v>5522.28</v>
      </c>
      <c r="CJ19" s="317">
        <v>29608.559999999998</v>
      </c>
      <c r="CK19" s="323">
        <f>+(CJ19-$CJ$10)*($CJ$8-$CJ$9)</f>
        <v>3691.2839999999997</v>
      </c>
      <c r="CL19" s="319">
        <f>+(CH19+CI19)*$CL$13</f>
        <v>4405.7537279999997</v>
      </c>
      <c r="CM19" s="319">
        <f>SUM(CJ19:CL19)*$CM$8</f>
        <v>0</v>
      </c>
      <c r="CN19" s="324">
        <f t="shared" ref="CN19:CN56" si="55">SUM(CJ19:CM19)</f>
        <v>37705.597727999993</v>
      </c>
    </row>
    <row r="20" spans="1:92" ht="12.75" customHeight="1">
      <c r="A20" s="144"/>
      <c r="B20" s="196" t="s">
        <v>13</v>
      </c>
      <c r="C20" s="197" t="s">
        <v>76</v>
      </c>
      <c r="D20" s="123">
        <v>16968</v>
      </c>
      <c r="E20" s="123">
        <f t="shared" si="4"/>
        <v>4200</v>
      </c>
      <c r="F20" s="124">
        <f t="shared" si="5"/>
        <v>21168</v>
      </c>
      <c r="G20" s="123">
        <f t="shared" si="6"/>
        <v>2089.7340000000004</v>
      </c>
      <c r="H20" s="123">
        <f t="shared" si="7"/>
        <v>3132.864</v>
      </c>
      <c r="I20" s="125">
        <f t="shared" si="8"/>
        <v>26390.598000000002</v>
      </c>
      <c r="J20" s="144"/>
      <c r="K20" s="138">
        <v>17787</v>
      </c>
      <c r="L20" s="123">
        <f t="shared" si="9"/>
        <v>4326</v>
      </c>
      <c r="M20" s="124">
        <f t="shared" si="10"/>
        <v>22113</v>
      </c>
      <c r="N20" s="123">
        <f t="shared" si="11"/>
        <v>2195.3040000000001</v>
      </c>
      <c r="O20" s="123">
        <f t="shared" si="12"/>
        <v>3272.7239999999997</v>
      </c>
      <c r="P20" s="125">
        <f t="shared" si="13"/>
        <v>27581.027999999998</v>
      </c>
      <c r="Q20" s="144"/>
      <c r="R20" s="138">
        <f t="shared" si="14"/>
        <v>1190.4299999999967</v>
      </c>
      <c r="S20" s="178">
        <f t="shared" si="15"/>
        <v>4.5108110092844302E-2</v>
      </c>
      <c r="T20" s="181"/>
      <c r="U20" s="144"/>
      <c r="V20" s="138">
        <v>18813</v>
      </c>
      <c r="W20" s="123">
        <f t="shared" si="16"/>
        <v>4400</v>
      </c>
      <c r="X20" s="123">
        <v>0</v>
      </c>
      <c r="Y20" s="124">
        <f t="shared" si="17"/>
        <v>23213</v>
      </c>
      <c r="Z20" s="123">
        <f t="shared" si="18"/>
        <v>2347.1040000000003</v>
      </c>
      <c r="AA20" s="123">
        <f t="shared" si="19"/>
        <v>3435.5239999999999</v>
      </c>
      <c r="AB20" s="125">
        <f t="shared" si="20"/>
        <v>28995.628000000001</v>
      </c>
      <c r="AC20" s="144"/>
      <c r="AD20" s="138">
        <f t="shared" si="21"/>
        <v>1414.6000000000022</v>
      </c>
      <c r="AE20" s="178">
        <f t="shared" si="22"/>
        <v>5.128887871764614E-2</v>
      </c>
      <c r="AF20" s="181"/>
      <c r="AG20" s="144"/>
      <c r="AH20" s="138">
        <v>19337</v>
      </c>
      <c r="AI20" s="123">
        <f t="shared" si="23"/>
        <v>4473</v>
      </c>
      <c r="AJ20" s="123">
        <v>0</v>
      </c>
      <c r="AK20" s="124">
        <f t="shared" si="24"/>
        <v>23810</v>
      </c>
      <c r="AL20" s="123">
        <f t="shared" si="25"/>
        <v>2429.4900000000002</v>
      </c>
      <c r="AM20" s="123">
        <f t="shared" si="26"/>
        <v>3523.8799999999997</v>
      </c>
      <c r="AN20" s="125">
        <f t="shared" si="27"/>
        <v>29763.370000000003</v>
      </c>
      <c r="AO20" s="144"/>
      <c r="AP20" s="138">
        <f t="shared" si="28"/>
        <v>767.74200000000201</v>
      </c>
      <c r="AQ20" s="178">
        <f t="shared" si="29"/>
        <v>2.6477853833688374E-2</v>
      </c>
      <c r="AR20" s="181"/>
      <c r="AS20" s="144"/>
      <c r="AT20" s="138">
        <v>20330</v>
      </c>
      <c r="AU20" s="123">
        <f t="shared" si="47"/>
        <v>4608</v>
      </c>
      <c r="AV20" s="123">
        <v>0</v>
      </c>
      <c r="AW20" s="124">
        <f t="shared" si="30"/>
        <v>24938</v>
      </c>
      <c r="AX20" s="123">
        <f t="shared" si="48"/>
        <v>2221.5240000000003</v>
      </c>
      <c r="AY20" s="123">
        <f t="shared" si="32"/>
        <v>3698.3053999999997</v>
      </c>
      <c r="AZ20" s="125">
        <f t="shared" si="33"/>
        <v>30857.829400000002</v>
      </c>
      <c r="BA20" s="144"/>
      <c r="BB20" s="138">
        <f t="shared" si="34"/>
        <v>1094.4593999999997</v>
      </c>
      <c r="BC20" s="178">
        <f t="shared" si="35"/>
        <v>3.6772025479641576E-2</v>
      </c>
      <c r="BD20" s="181"/>
      <c r="BE20" s="207">
        <f t="shared" si="49"/>
        <v>1400</v>
      </c>
      <c r="BF20" s="138">
        <f t="shared" si="50"/>
        <v>21730</v>
      </c>
      <c r="BG20" s="123">
        <f t="shared" si="51"/>
        <v>4888</v>
      </c>
      <c r="BH20" s="123">
        <v>0</v>
      </c>
      <c r="BI20" s="124">
        <f t="shared" si="36"/>
        <v>26618</v>
      </c>
      <c r="BJ20" s="123">
        <f>+(BI20-$BI$10)*($BI$8-$BI$9)</f>
        <v>2636.4590000000003</v>
      </c>
      <c r="BK20" s="123">
        <f t="shared" si="37"/>
        <v>4080.5393999999997</v>
      </c>
      <c r="BL20" s="125">
        <f t="shared" si="38"/>
        <v>33334.998399999997</v>
      </c>
      <c r="BM20" s="144"/>
      <c r="BN20" s="138">
        <f t="shared" si="39"/>
        <v>2477.1689999999944</v>
      </c>
      <c r="BO20" s="178">
        <f t="shared" si="40"/>
        <v>8.0276838914664361E-2</v>
      </c>
      <c r="BP20" s="181"/>
      <c r="BQ20" s="285">
        <f>BR20/BF20-1</f>
        <v>4.9976990335941052E-2</v>
      </c>
      <c r="BR20" s="138">
        <v>22816</v>
      </c>
      <c r="BS20" s="123">
        <f t="shared" si="53"/>
        <v>5132.4000000000005</v>
      </c>
      <c r="BT20" s="123">
        <v>0</v>
      </c>
      <c r="BU20" s="124">
        <f t="shared" si="41"/>
        <v>27948.400000000001</v>
      </c>
      <c r="BV20" s="123">
        <f t="shared" si="54"/>
        <v>2601.0792000000006</v>
      </c>
      <c r="BW20" s="123">
        <f t="shared" si="42"/>
        <v>4284.4897199999996</v>
      </c>
      <c r="BX20" s="125">
        <f t="shared" si="43"/>
        <v>34833.968919999999</v>
      </c>
      <c r="BY20" s="291">
        <f t="shared" si="44"/>
        <v>0.24636719525983586</v>
      </c>
      <c r="BZ20" s="138">
        <f t="shared" si="45"/>
        <v>1498.9705200000026</v>
      </c>
      <c r="CA20" s="178">
        <f t="shared" si="46"/>
        <v>4.4966869414939069E-2</v>
      </c>
      <c r="CB20" s="181"/>
      <c r="CD20" s="196" t="s">
        <v>13</v>
      </c>
      <c r="CE20" s="304" t="s">
        <v>336</v>
      </c>
      <c r="CF20" s="305" t="s">
        <v>337</v>
      </c>
      <c r="CG20" s="306" t="s">
        <v>338</v>
      </c>
      <c r="CH20" s="307">
        <v>24552.420000000002</v>
      </c>
      <c r="CI20" s="307">
        <v>5522.28</v>
      </c>
      <c r="CJ20" s="316">
        <v>30074.7</v>
      </c>
      <c r="CK20" s="320">
        <f>+(CJ20-$CJ$10)*($CJ$8-$CJ$9)</f>
        <v>3761.2049999999999</v>
      </c>
      <c r="CL20" s="321">
        <f>+(CH20+CI20)*$CL$13</f>
        <v>4475.1153599999998</v>
      </c>
      <c r="CM20" s="321">
        <f>SUM(CJ20:CL20)*$CM$8</f>
        <v>0</v>
      </c>
      <c r="CN20" s="322">
        <f t="shared" si="55"/>
        <v>38311.020359999995</v>
      </c>
    </row>
    <row r="21" spans="1:92" ht="12.75" customHeight="1">
      <c r="A21" s="144"/>
      <c r="B21" s="149" t="s">
        <v>13</v>
      </c>
      <c r="C21" s="151" t="s">
        <v>78</v>
      </c>
      <c r="D21" s="122">
        <v>18333</v>
      </c>
      <c r="E21" s="122">
        <f t="shared" si="4"/>
        <v>4200</v>
      </c>
      <c r="F21" s="129">
        <f t="shared" si="5"/>
        <v>22533</v>
      </c>
      <c r="G21" s="122">
        <f t="shared" si="6"/>
        <v>2278.1040000000003</v>
      </c>
      <c r="H21" s="122">
        <f t="shared" si="7"/>
        <v>3334.884</v>
      </c>
      <c r="I21" s="130">
        <f t="shared" si="8"/>
        <v>28145.987999999998</v>
      </c>
      <c r="J21" s="144"/>
      <c r="K21" s="140">
        <v>18608</v>
      </c>
      <c r="L21" s="122">
        <f t="shared" si="9"/>
        <v>4326</v>
      </c>
      <c r="M21" s="129">
        <f t="shared" si="10"/>
        <v>22934</v>
      </c>
      <c r="N21" s="122">
        <f t="shared" si="11"/>
        <v>2308.6020000000003</v>
      </c>
      <c r="O21" s="122">
        <f t="shared" si="12"/>
        <v>3394.232</v>
      </c>
      <c r="P21" s="130">
        <f t="shared" si="13"/>
        <v>28636.833999999999</v>
      </c>
      <c r="Q21" s="144"/>
      <c r="R21" s="140">
        <f t="shared" si="14"/>
        <v>490.84600000000137</v>
      </c>
      <c r="S21" s="180">
        <f t="shared" si="15"/>
        <v>1.743928832770061E-2</v>
      </c>
      <c r="T21" s="183"/>
      <c r="U21" s="144"/>
      <c r="V21" s="140">
        <v>18813</v>
      </c>
      <c r="W21" s="122">
        <f t="shared" si="16"/>
        <v>4400</v>
      </c>
      <c r="X21" s="122">
        <v>0</v>
      </c>
      <c r="Y21" s="129">
        <f t="shared" si="17"/>
        <v>23213</v>
      </c>
      <c r="Z21" s="122">
        <f t="shared" si="18"/>
        <v>2347.1040000000003</v>
      </c>
      <c r="AA21" s="122">
        <f t="shared" si="19"/>
        <v>3435.5239999999999</v>
      </c>
      <c r="AB21" s="130">
        <f t="shared" si="20"/>
        <v>28995.628000000001</v>
      </c>
      <c r="AC21" s="144"/>
      <c r="AD21" s="140">
        <f t="shared" si="21"/>
        <v>358.79400000000169</v>
      </c>
      <c r="AE21" s="180">
        <f t="shared" si="22"/>
        <v>1.2529108490135527E-2</v>
      </c>
      <c r="AF21" s="183"/>
      <c r="AG21" s="144"/>
      <c r="AH21" s="140">
        <v>21142</v>
      </c>
      <c r="AI21" s="122">
        <f t="shared" si="23"/>
        <v>4473</v>
      </c>
      <c r="AJ21" s="122">
        <v>0</v>
      </c>
      <c r="AK21" s="129">
        <f t="shared" si="24"/>
        <v>25615</v>
      </c>
      <c r="AL21" s="122">
        <f t="shared" si="25"/>
        <v>2678.5800000000004</v>
      </c>
      <c r="AM21" s="122">
        <f t="shared" si="26"/>
        <v>3791.02</v>
      </c>
      <c r="AN21" s="130">
        <f t="shared" si="27"/>
        <v>32084.600000000002</v>
      </c>
      <c r="AO21" s="144"/>
      <c r="AP21" s="140">
        <f t="shared" si="28"/>
        <v>3088.9720000000016</v>
      </c>
      <c r="AQ21" s="180">
        <f t="shared" si="29"/>
        <v>0.10653233653018315</v>
      </c>
      <c r="AR21" s="183"/>
      <c r="AS21" s="144"/>
      <c r="AT21" s="140" t="e">
        <f>#REF!</f>
        <v>#REF!</v>
      </c>
      <c r="AU21" s="122" t="e">
        <f t="shared" si="47"/>
        <v>#REF!</v>
      </c>
      <c r="AV21" s="122">
        <v>0</v>
      </c>
      <c r="AW21" s="129" t="e">
        <f t="shared" si="30"/>
        <v>#REF!</v>
      </c>
      <c r="AX21" s="122" t="e">
        <f t="shared" si="48"/>
        <v>#REF!</v>
      </c>
      <c r="AY21" s="122" t="e">
        <f t="shared" si="32"/>
        <v>#REF!</v>
      </c>
      <c r="AZ21" s="130" t="e">
        <f t="shared" si="33"/>
        <v>#REF!</v>
      </c>
      <c r="BA21" s="144"/>
      <c r="BB21" s="140" t="e">
        <f t="shared" si="34"/>
        <v>#REF!</v>
      </c>
      <c r="BC21" s="180" t="e">
        <f t="shared" si="35"/>
        <v>#REF!</v>
      </c>
      <c r="BD21" s="183"/>
      <c r="BE21" s="207" t="e">
        <f t="shared" si="49"/>
        <v>#REF!</v>
      </c>
      <c r="BF21" s="140" t="e">
        <f t="shared" si="50"/>
        <v>#REF!</v>
      </c>
      <c r="BG21" s="122" t="e">
        <f t="shared" si="51"/>
        <v>#REF!</v>
      </c>
      <c r="BH21" s="122">
        <v>0</v>
      </c>
      <c r="BI21" s="129" t="e">
        <f t="shared" si="36"/>
        <v>#REF!</v>
      </c>
      <c r="BJ21" s="122" t="e">
        <f t="shared" si="52"/>
        <v>#REF!</v>
      </c>
      <c r="BK21" s="122" t="e">
        <f t="shared" si="37"/>
        <v>#REF!</v>
      </c>
      <c r="BL21" s="130" t="e">
        <f t="shared" si="38"/>
        <v>#REF!</v>
      </c>
      <c r="BM21" s="144"/>
      <c r="BN21" s="140" t="e">
        <f t="shared" si="39"/>
        <v>#REF!</v>
      </c>
      <c r="BO21" s="180" t="e">
        <f t="shared" si="40"/>
        <v>#REF!</v>
      </c>
      <c r="BP21" s="183"/>
      <c r="BR21" s="140" t="e">
        <f>#REF!</f>
        <v>#REF!</v>
      </c>
      <c r="BS21" s="122" t="e">
        <f t="shared" si="53"/>
        <v>#REF!</v>
      </c>
      <c r="BT21" s="122">
        <v>0</v>
      </c>
      <c r="BU21" s="129" t="e">
        <f t="shared" si="41"/>
        <v>#REF!</v>
      </c>
      <c r="BV21" s="122" t="e">
        <f t="shared" si="54"/>
        <v>#REF!</v>
      </c>
      <c r="BW21" s="122" t="e">
        <f t="shared" si="42"/>
        <v>#REF!</v>
      </c>
      <c r="BX21" s="130" t="e">
        <f t="shared" si="43"/>
        <v>#REF!</v>
      </c>
      <c r="BY21" s="291" t="e">
        <f t="shared" si="44"/>
        <v>#REF!</v>
      </c>
      <c r="BZ21" s="140" t="e">
        <f t="shared" si="45"/>
        <v>#REF!</v>
      </c>
      <c r="CA21" s="180" t="e">
        <f t="shared" si="46"/>
        <v>#REF!</v>
      </c>
      <c r="CB21" s="183"/>
      <c r="CD21" s="149" t="s">
        <v>13</v>
      </c>
      <c r="CE21" s="301" t="s">
        <v>339</v>
      </c>
      <c r="CF21" s="302" t="s">
        <v>340</v>
      </c>
      <c r="CG21" s="299" t="s">
        <v>341</v>
      </c>
      <c r="CH21" s="303">
        <v>25439.82</v>
      </c>
      <c r="CI21" s="300">
        <v>5522.28</v>
      </c>
      <c r="CJ21" s="318">
        <v>30962.1</v>
      </c>
      <c r="CK21" s="323">
        <f>+(CJ21-$CJ$10)*($CJ$8-$CJ$9)</f>
        <v>3894.3149999999996</v>
      </c>
      <c r="CL21" s="319">
        <f>+(CH21+CI21)*$CL$13</f>
        <v>4607.1604799999996</v>
      </c>
      <c r="CM21" s="319">
        <f>SUM(CJ21:CL21)*$CM$8</f>
        <v>0</v>
      </c>
      <c r="CN21" s="324">
        <f t="shared" si="55"/>
        <v>39463.57548</v>
      </c>
    </row>
    <row r="22" spans="1:92" ht="12.75" customHeight="1" thickBot="1">
      <c r="A22" s="144"/>
      <c r="B22" s="198" t="s">
        <v>13</v>
      </c>
      <c r="C22" s="199" t="s">
        <v>80</v>
      </c>
      <c r="D22" s="126">
        <v>19852</v>
      </c>
      <c r="E22" s="126">
        <f t="shared" si="4"/>
        <v>4200</v>
      </c>
      <c r="F22" s="127">
        <f t="shared" si="5"/>
        <v>24052</v>
      </c>
      <c r="G22" s="126">
        <f t="shared" si="6"/>
        <v>2487.7260000000001</v>
      </c>
      <c r="H22" s="126">
        <f t="shared" si="7"/>
        <v>3559.6959999999999</v>
      </c>
      <c r="I22" s="128">
        <f t="shared" si="8"/>
        <v>30099.421999999999</v>
      </c>
      <c r="J22" s="144"/>
      <c r="K22" s="139">
        <v>20448</v>
      </c>
      <c r="L22" s="126">
        <f t="shared" si="9"/>
        <v>4326</v>
      </c>
      <c r="M22" s="127">
        <f t="shared" si="10"/>
        <v>24774</v>
      </c>
      <c r="N22" s="126">
        <f t="shared" si="11"/>
        <v>2562.5220000000004</v>
      </c>
      <c r="O22" s="126">
        <f t="shared" si="12"/>
        <v>3666.5519999999997</v>
      </c>
      <c r="P22" s="128">
        <f t="shared" si="13"/>
        <v>31003.074000000001</v>
      </c>
      <c r="Q22" s="144"/>
      <c r="R22" s="139">
        <f t="shared" si="14"/>
        <v>903.65200000000186</v>
      </c>
      <c r="S22" s="179">
        <f t="shared" si="15"/>
        <v>3.0022237636324108E-2</v>
      </c>
      <c r="T22" s="182">
        <f>SUM(R20:R22)/SUM(I20:I22)</f>
        <v>3.0541705133351752E-2</v>
      </c>
      <c r="U22" s="144"/>
      <c r="V22" s="139">
        <v>20795</v>
      </c>
      <c r="W22" s="126">
        <f t="shared" si="16"/>
        <v>4400</v>
      </c>
      <c r="X22" s="126">
        <v>229</v>
      </c>
      <c r="Y22" s="127">
        <f t="shared" si="17"/>
        <v>25424</v>
      </c>
      <c r="Z22" s="126">
        <f t="shared" si="18"/>
        <v>2652.2220000000002</v>
      </c>
      <c r="AA22" s="126">
        <f t="shared" si="19"/>
        <v>3728.8599999999997</v>
      </c>
      <c r="AB22" s="128">
        <f t="shared" si="20"/>
        <v>31805.082000000002</v>
      </c>
      <c r="AC22" s="144"/>
      <c r="AD22" s="139">
        <f t="shared" si="21"/>
        <v>802.00800000000163</v>
      </c>
      <c r="AE22" s="179">
        <f t="shared" si="22"/>
        <v>2.5868660636684016E-2</v>
      </c>
      <c r="AF22" s="182">
        <f>SUM(AD20:AD22)/SUM(P20:P22)</f>
        <v>2.9527337335614075E-2</v>
      </c>
      <c r="AG22" s="144"/>
      <c r="AH22" s="139">
        <v>21142</v>
      </c>
      <c r="AI22" s="126">
        <f t="shared" si="23"/>
        <v>4473</v>
      </c>
      <c r="AJ22" s="126">
        <v>0</v>
      </c>
      <c r="AK22" s="127">
        <f t="shared" si="24"/>
        <v>25615</v>
      </c>
      <c r="AL22" s="126">
        <f t="shared" si="25"/>
        <v>2678.5800000000004</v>
      </c>
      <c r="AM22" s="126">
        <f t="shared" si="26"/>
        <v>3791.02</v>
      </c>
      <c r="AN22" s="128">
        <f t="shared" si="27"/>
        <v>32084.600000000002</v>
      </c>
      <c r="AO22" s="144"/>
      <c r="AP22" s="139">
        <f t="shared" si="28"/>
        <v>279.51800000000003</v>
      </c>
      <c r="AQ22" s="179">
        <f t="shared" si="29"/>
        <v>8.7884697168836099E-3</v>
      </c>
      <c r="AR22" s="182">
        <f>SUM(AP20:AP22)/SUM(AB20:AB22)</f>
        <v>4.6062368378541267E-2</v>
      </c>
      <c r="AS22" s="144"/>
      <c r="AT22" s="139" t="e">
        <f>#REF!</f>
        <v>#REF!</v>
      </c>
      <c r="AU22" s="126" t="e">
        <f t="shared" si="47"/>
        <v>#REF!</v>
      </c>
      <c r="AV22" s="126">
        <v>0</v>
      </c>
      <c r="AW22" s="127" t="e">
        <f t="shared" si="30"/>
        <v>#REF!</v>
      </c>
      <c r="AX22" s="126" t="e">
        <f t="shared" si="48"/>
        <v>#REF!</v>
      </c>
      <c r="AY22" s="126" t="e">
        <f t="shared" si="32"/>
        <v>#REF!</v>
      </c>
      <c r="AZ22" s="128" t="e">
        <f t="shared" si="33"/>
        <v>#REF!</v>
      </c>
      <c r="BA22" s="207" t="e">
        <f>AZ22*1.3</f>
        <v>#REF!</v>
      </c>
      <c r="BB22" s="139" t="e">
        <f t="shared" si="34"/>
        <v>#REF!</v>
      </c>
      <c r="BC22" s="179" t="e">
        <f t="shared" si="35"/>
        <v>#REF!</v>
      </c>
      <c r="BD22" s="182" t="e">
        <f>SUM(BB20:BB22)/SUM(AN20:AN22)</f>
        <v>#REF!</v>
      </c>
      <c r="BE22" s="207" t="e">
        <f t="shared" si="49"/>
        <v>#REF!</v>
      </c>
      <c r="BF22" s="139" t="e">
        <f t="shared" si="50"/>
        <v>#REF!</v>
      </c>
      <c r="BG22" s="126" t="e">
        <f t="shared" si="51"/>
        <v>#REF!</v>
      </c>
      <c r="BH22" s="126">
        <v>0</v>
      </c>
      <c r="BI22" s="127" t="e">
        <f t="shared" si="36"/>
        <v>#REF!</v>
      </c>
      <c r="BJ22" s="126" t="e">
        <f t="shared" si="52"/>
        <v>#REF!</v>
      </c>
      <c r="BK22" s="126" t="e">
        <f t="shared" si="37"/>
        <v>#REF!</v>
      </c>
      <c r="BL22" s="128" t="e">
        <f t="shared" si="38"/>
        <v>#REF!</v>
      </c>
      <c r="BM22" s="207"/>
      <c r="BN22" s="139" t="e">
        <f t="shared" si="39"/>
        <v>#REF!</v>
      </c>
      <c r="BO22" s="179" t="e">
        <f t="shared" si="40"/>
        <v>#REF!</v>
      </c>
      <c r="BP22" s="182" t="e">
        <f>SUM(BN20:BN22)/SUM(AZ20:AZ22)</f>
        <v>#REF!</v>
      </c>
      <c r="BR22" s="139" t="e">
        <f>#REF!</f>
        <v>#REF!</v>
      </c>
      <c r="BS22" s="126" t="e">
        <f t="shared" si="53"/>
        <v>#REF!</v>
      </c>
      <c r="BT22" s="126">
        <v>0</v>
      </c>
      <c r="BU22" s="127" t="e">
        <f t="shared" si="41"/>
        <v>#REF!</v>
      </c>
      <c r="BV22" s="126" t="e">
        <f t="shared" si="54"/>
        <v>#REF!</v>
      </c>
      <c r="BW22" s="126" t="e">
        <f t="shared" si="42"/>
        <v>#REF!</v>
      </c>
      <c r="BX22" s="128" t="e">
        <f t="shared" si="43"/>
        <v>#REF!</v>
      </c>
      <c r="BY22" s="291" t="e">
        <f>BX22/BU22-1</f>
        <v>#REF!</v>
      </c>
      <c r="BZ22" s="139" t="e">
        <f t="shared" si="45"/>
        <v>#REF!</v>
      </c>
      <c r="CA22" s="179" t="e">
        <f t="shared" si="46"/>
        <v>#REF!</v>
      </c>
      <c r="CB22" s="182" t="e">
        <f>SUM(BZ20:BZ22)/SUM(BL20:BL22)</f>
        <v>#REF!</v>
      </c>
      <c r="CD22" s="198" t="s">
        <v>13</v>
      </c>
      <c r="CE22" s="308" t="s">
        <v>342</v>
      </c>
      <c r="CF22" s="309" t="s">
        <v>343</v>
      </c>
      <c r="CG22" s="310" t="s">
        <v>344</v>
      </c>
      <c r="CH22" s="311">
        <v>26187.48</v>
      </c>
      <c r="CI22" s="311">
        <v>5522.28</v>
      </c>
      <c r="CJ22" s="317">
        <v>31709.759999999998</v>
      </c>
      <c r="CK22" s="325">
        <f>+(CJ22-$CJ$10)*($CJ$8-$CJ$9)</f>
        <v>4006.4639999999995</v>
      </c>
      <c r="CL22" s="326">
        <f>+(CH22+CI22)*$CL$13</f>
        <v>4718.4122879999995</v>
      </c>
      <c r="CM22" s="326">
        <f>SUM(CJ22:CL22)*$CM$8</f>
        <v>0</v>
      </c>
      <c r="CN22" s="327">
        <f t="shared" si="55"/>
        <v>40434.636287999994</v>
      </c>
    </row>
    <row r="23" spans="1:92" ht="12.75" customHeight="1">
      <c r="A23" s="144"/>
      <c r="B23" s="196" t="s">
        <v>14</v>
      </c>
      <c r="C23" s="197" t="s">
        <v>79</v>
      </c>
      <c r="D23" s="123">
        <v>19409</v>
      </c>
      <c r="E23" s="123">
        <f t="shared" si="4"/>
        <v>4200</v>
      </c>
      <c r="F23" s="124">
        <f t="shared" si="5"/>
        <v>23609</v>
      </c>
      <c r="G23" s="123">
        <f t="shared" si="6"/>
        <v>2426.5920000000001</v>
      </c>
      <c r="H23" s="123">
        <f t="shared" si="7"/>
        <v>3494.1319999999996</v>
      </c>
      <c r="I23" s="125">
        <f t="shared" si="8"/>
        <v>29529.724000000002</v>
      </c>
      <c r="J23" s="144"/>
      <c r="K23" s="138">
        <v>20150</v>
      </c>
      <c r="L23" s="123">
        <f t="shared" si="9"/>
        <v>4326</v>
      </c>
      <c r="M23" s="124">
        <f t="shared" si="10"/>
        <v>24476</v>
      </c>
      <c r="N23" s="123">
        <f t="shared" si="11"/>
        <v>2521.3980000000001</v>
      </c>
      <c r="O23" s="123">
        <f t="shared" si="12"/>
        <v>3622.4479999999999</v>
      </c>
      <c r="P23" s="125">
        <f t="shared" si="13"/>
        <v>30619.846000000001</v>
      </c>
      <c r="Q23" s="144"/>
      <c r="R23" s="138">
        <f t="shared" si="14"/>
        <v>1090.1219999999994</v>
      </c>
      <c r="S23" s="178">
        <f t="shared" si="15"/>
        <v>3.6916091731842779E-2</v>
      </c>
      <c r="T23" s="181"/>
      <c r="U23" s="144"/>
      <c r="V23" s="138">
        <v>21089</v>
      </c>
      <c r="W23" s="123">
        <f t="shared" si="16"/>
        <v>4400</v>
      </c>
      <c r="X23" s="123">
        <v>0</v>
      </c>
      <c r="Y23" s="124">
        <f t="shared" si="17"/>
        <v>25489</v>
      </c>
      <c r="Z23" s="123">
        <f t="shared" si="18"/>
        <v>2661.192</v>
      </c>
      <c r="AA23" s="123">
        <f t="shared" si="19"/>
        <v>3772.3719999999998</v>
      </c>
      <c r="AB23" s="125">
        <f t="shared" si="20"/>
        <v>31922.563999999998</v>
      </c>
      <c r="AC23" s="144"/>
      <c r="AD23" s="138">
        <f t="shared" si="21"/>
        <v>1302.7179999999971</v>
      </c>
      <c r="AE23" s="178">
        <f t="shared" si="22"/>
        <v>4.2544890656863427E-2</v>
      </c>
      <c r="AF23" s="181"/>
      <c r="AG23" s="144"/>
      <c r="AH23" s="138">
        <v>21892</v>
      </c>
      <c r="AI23" s="123">
        <f t="shared" si="23"/>
        <v>4473</v>
      </c>
      <c r="AJ23" s="123">
        <v>0</v>
      </c>
      <c r="AK23" s="124">
        <f t="shared" si="24"/>
        <v>26365</v>
      </c>
      <c r="AL23" s="123">
        <f t="shared" si="25"/>
        <v>2782.0800000000004</v>
      </c>
      <c r="AM23" s="123">
        <f t="shared" si="26"/>
        <v>3902.02</v>
      </c>
      <c r="AN23" s="125">
        <f t="shared" si="27"/>
        <v>33049.1</v>
      </c>
      <c r="AO23" s="144"/>
      <c r="AP23" s="138">
        <f t="shared" si="28"/>
        <v>1126.5360000000001</v>
      </c>
      <c r="AQ23" s="178">
        <f t="shared" si="29"/>
        <v>3.5289646533405029E-2</v>
      </c>
      <c r="AR23" s="181"/>
      <c r="AS23" s="144"/>
      <c r="AT23" s="138">
        <v>22549</v>
      </c>
      <c r="AU23" s="123">
        <f t="shared" si="47"/>
        <v>4608</v>
      </c>
      <c r="AV23" s="123">
        <v>0</v>
      </c>
      <c r="AW23" s="124">
        <f t="shared" si="30"/>
        <v>27157</v>
      </c>
      <c r="AX23" s="123">
        <f t="shared" si="48"/>
        <v>2527.7460000000001</v>
      </c>
      <c r="AY23" s="123">
        <f t="shared" si="32"/>
        <v>4027.3830999999996</v>
      </c>
      <c r="AZ23" s="125">
        <f t="shared" si="33"/>
        <v>33712.129099999998</v>
      </c>
      <c r="BA23" s="207"/>
      <c r="BB23" s="138">
        <f t="shared" si="34"/>
        <v>663.02909999999974</v>
      </c>
      <c r="BC23" s="178">
        <f t="shared" si="35"/>
        <v>2.0061941172376852E-2</v>
      </c>
      <c r="BD23" s="181"/>
      <c r="BE23" s="207">
        <f t="shared" si="49"/>
        <v>1400</v>
      </c>
      <c r="BF23" s="138">
        <f t="shared" si="50"/>
        <v>23949</v>
      </c>
      <c r="BG23" s="123">
        <f t="shared" si="51"/>
        <v>4888</v>
      </c>
      <c r="BH23" s="123">
        <v>0</v>
      </c>
      <c r="BI23" s="124">
        <f t="shared" si="36"/>
        <v>28837</v>
      </c>
      <c r="BJ23" s="123">
        <f t="shared" si="52"/>
        <v>2970.4185000000002</v>
      </c>
      <c r="BK23" s="123">
        <f t="shared" si="37"/>
        <v>4420.7120999999997</v>
      </c>
      <c r="BL23" s="125">
        <f t="shared" si="38"/>
        <v>36228.130599999997</v>
      </c>
      <c r="BM23" s="207"/>
      <c r="BN23" s="138">
        <f t="shared" si="39"/>
        <v>2516.0014999999985</v>
      </c>
      <c r="BO23" s="178">
        <f t="shared" si="40"/>
        <v>7.4631937144545357E-2</v>
      </c>
      <c r="BP23" s="181"/>
      <c r="BR23" s="138">
        <v>25147</v>
      </c>
      <c r="BS23" s="123">
        <f t="shared" si="53"/>
        <v>5132.4000000000005</v>
      </c>
      <c r="BT23" s="123">
        <v>0</v>
      </c>
      <c r="BU23" s="124">
        <f t="shared" si="41"/>
        <v>30279.4</v>
      </c>
      <c r="BV23" s="123">
        <f t="shared" si="54"/>
        <v>2922.7572000000005</v>
      </c>
      <c r="BW23" s="123">
        <f t="shared" si="42"/>
        <v>4641.8320199999998</v>
      </c>
      <c r="BX23" s="125">
        <f t="shared" si="43"/>
        <v>37843.989220000003</v>
      </c>
      <c r="BY23" s="291">
        <f t="shared" ref="BY23:BY66" si="56">BX23/BU23-1</f>
        <v>0.24982625877659403</v>
      </c>
      <c r="BZ23" s="138">
        <f t="shared" si="45"/>
        <v>1615.8586200000063</v>
      </c>
      <c r="CA23" s="178">
        <f t="shared" si="46"/>
        <v>4.460231850881112E-2</v>
      </c>
      <c r="CB23" s="181"/>
      <c r="CD23" s="196" t="s">
        <v>14</v>
      </c>
      <c r="CE23" s="304" t="s">
        <v>336</v>
      </c>
      <c r="CF23" s="305" t="s">
        <v>345</v>
      </c>
      <c r="CG23" s="305" t="s">
        <v>346</v>
      </c>
      <c r="CH23" s="307">
        <v>27060.600000000002</v>
      </c>
      <c r="CI23" s="307">
        <v>5522.28</v>
      </c>
      <c r="CJ23" s="316">
        <v>32582.880000000001</v>
      </c>
      <c r="CK23" s="323">
        <f>+(CJ23-$CJ$10)*($CJ$8-$CJ$9)</f>
        <v>4137.4319999999998</v>
      </c>
      <c r="CL23" s="319">
        <f>+(CH23+CI23)*$CL$13</f>
        <v>4848.3325439999999</v>
      </c>
      <c r="CM23" s="319">
        <f>SUM(CJ23:CL23)*$CM$8</f>
        <v>0</v>
      </c>
      <c r="CN23" s="324">
        <f t="shared" si="55"/>
        <v>41568.644543999995</v>
      </c>
    </row>
    <row r="24" spans="1:92" ht="12.75" customHeight="1">
      <c r="A24" s="144"/>
      <c r="B24" s="149" t="s">
        <v>14</v>
      </c>
      <c r="C24" s="151" t="s">
        <v>81</v>
      </c>
      <c r="D24" s="122">
        <v>20551.48</v>
      </c>
      <c r="E24" s="122">
        <f t="shared" si="4"/>
        <v>4200</v>
      </c>
      <c r="F24" s="129">
        <f t="shared" si="5"/>
        <v>24751.48</v>
      </c>
      <c r="G24" s="122">
        <f t="shared" si="6"/>
        <v>2584.2542400000002</v>
      </c>
      <c r="H24" s="122">
        <f t="shared" si="7"/>
        <v>3663.2190399999999</v>
      </c>
      <c r="I24" s="130">
        <f t="shared" si="8"/>
        <v>30998.953279999998</v>
      </c>
      <c r="J24" s="144"/>
      <c r="K24" s="140">
        <v>20859</v>
      </c>
      <c r="L24" s="122">
        <f t="shared" si="9"/>
        <v>4326</v>
      </c>
      <c r="M24" s="129">
        <f t="shared" si="10"/>
        <v>25185</v>
      </c>
      <c r="N24" s="122">
        <f t="shared" si="11"/>
        <v>2619.2400000000002</v>
      </c>
      <c r="O24" s="122">
        <f t="shared" si="12"/>
        <v>3727.3799999999997</v>
      </c>
      <c r="P24" s="130">
        <f t="shared" si="13"/>
        <v>31531.620000000003</v>
      </c>
      <c r="Q24" s="144"/>
      <c r="R24" s="140">
        <f t="shared" si="14"/>
        <v>532.66672000000472</v>
      </c>
      <c r="S24" s="180">
        <f t="shared" si="15"/>
        <v>1.7183377618871804E-2</v>
      </c>
      <c r="T24" s="183"/>
      <c r="U24" s="144"/>
      <c r="V24" s="140">
        <v>21089</v>
      </c>
      <c r="W24" s="122">
        <f t="shared" si="16"/>
        <v>4400</v>
      </c>
      <c r="X24" s="122">
        <v>0</v>
      </c>
      <c r="Y24" s="129">
        <f t="shared" si="17"/>
        <v>25489</v>
      </c>
      <c r="Z24" s="122">
        <f t="shared" si="18"/>
        <v>2661.192</v>
      </c>
      <c r="AA24" s="122">
        <f t="shared" si="19"/>
        <v>3772.3719999999998</v>
      </c>
      <c r="AB24" s="130">
        <f t="shared" si="20"/>
        <v>31922.563999999998</v>
      </c>
      <c r="AC24" s="144"/>
      <c r="AD24" s="140">
        <f t="shared" si="21"/>
        <v>390.94399999999587</v>
      </c>
      <c r="AE24" s="180">
        <f t="shared" si="22"/>
        <v>1.2398474927707357E-2</v>
      </c>
      <c r="AF24" s="183"/>
      <c r="AG24" s="144"/>
      <c r="AH24" s="140">
        <v>21892</v>
      </c>
      <c r="AI24" s="122">
        <f t="shared" si="23"/>
        <v>4473</v>
      </c>
      <c r="AJ24" s="122">
        <v>0</v>
      </c>
      <c r="AK24" s="129">
        <f t="shared" si="24"/>
        <v>26365</v>
      </c>
      <c r="AL24" s="122">
        <f t="shared" si="25"/>
        <v>2782.0800000000004</v>
      </c>
      <c r="AM24" s="122">
        <f t="shared" si="26"/>
        <v>3902.02</v>
      </c>
      <c r="AN24" s="130">
        <f t="shared" si="27"/>
        <v>33049.1</v>
      </c>
      <c r="AO24" s="144"/>
      <c r="AP24" s="140">
        <f t="shared" si="28"/>
        <v>1126.5360000000001</v>
      </c>
      <c r="AQ24" s="180">
        <f t="shared" si="29"/>
        <v>3.5289646533405029E-2</v>
      </c>
      <c r="AR24" s="183"/>
      <c r="AS24" s="144"/>
      <c r="AT24" s="140" t="e">
        <f>#REF!</f>
        <v>#REF!</v>
      </c>
      <c r="AU24" s="122" t="e">
        <f t="shared" si="47"/>
        <v>#REF!</v>
      </c>
      <c r="AV24" s="122">
        <v>0</v>
      </c>
      <c r="AW24" s="129" t="e">
        <f t="shared" si="30"/>
        <v>#REF!</v>
      </c>
      <c r="AX24" s="122" t="e">
        <f t="shared" si="48"/>
        <v>#REF!</v>
      </c>
      <c r="AY24" s="122" t="e">
        <f t="shared" si="32"/>
        <v>#REF!</v>
      </c>
      <c r="AZ24" s="130" t="e">
        <f t="shared" si="33"/>
        <v>#REF!</v>
      </c>
      <c r="BA24" s="207"/>
      <c r="BB24" s="140" t="e">
        <f t="shared" si="34"/>
        <v>#REF!</v>
      </c>
      <c r="BC24" s="180" t="e">
        <f t="shared" si="35"/>
        <v>#REF!</v>
      </c>
      <c r="BD24" s="183"/>
      <c r="BE24" s="207" t="e">
        <f t="shared" si="49"/>
        <v>#REF!</v>
      </c>
      <c r="BF24" s="140" t="e">
        <f t="shared" si="50"/>
        <v>#REF!</v>
      </c>
      <c r="BG24" s="122" t="e">
        <f t="shared" si="51"/>
        <v>#REF!</v>
      </c>
      <c r="BH24" s="122">
        <v>0</v>
      </c>
      <c r="BI24" s="129" t="e">
        <f t="shared" si="36"/>
        <v>#REF!</v>
      </c>
      <c r="BJ24" s="122" t="e">
        <f t="shared" si="52"/>
        <v>#REF!</v>
      </c>
      <c r="BK24" s="122" t="e">
        <f t="shared" si="37"/>
        <v>#REF!</v>
      </c>
      <c r="BL24" s="130" t="e">
        <f t="shared" si="38"/>
        <v>#REF!</v>
      </c>
      <c r="BM24" s="207"/>
      <c r="BN24" s="140" t="e">
        <f t="shared" si="39"/>
        <v>#REF!</v>
      </c>
      <c r="BO24" s="180" t="e">
        <f t="shared" si="40"/>
        <v>#REF!</v>
      </c>
      <c r="BP24" s="183"/>
      <c r="BR24" s="140" t="e">
        <f>#REF!</f>
        <v>#REF!</v>
      </c>
      <c r="BS24" s="122" t="e">
        <f t="shared" si="53"/>
        <v>#REF!</v>
      </c>
      <c r="BT24" s="122">
        <v>0</v>
      </c>
      <c r="BU24" s="129" t="e">
        <f t="shared" si="41"/>
        <v>#REF!</v>
      </c>
      <c r="BV24" s="122" t="e">
        <f t="shared" si="54"/>
        <v>#REF!</v>
      </c>
      <c r="BW24" s="122" t="e">
        <f t="shared" si="42"/>
        <v>#REF!</v>
      </c>
      <c r="BX24" s="130" t="e">
        <f t="shared" si="43"/>
        <v>#REF!</v>
      </c>
      <c r="BY24" s="291" t="e">
        <f t="shared" si="56"/>
        <v>#REF!</v>
      </c>
      <c r="BZ24" s="140" t="e">
        <f t="shared" si="45"/>
        <v>#REF!</v>
      </c>
      <c r="CA24" s="180" t="e">
        <f t="shared" si="46"/>
        <v>#REF!</v>
      </c>
      <c r="CB24" s="183"/>
      <c r="CD24" s="149" t="s">
        <v>14</v>
      </c>
      <c r="CE24" s="301" t="s">
        <v>339</v>
      </c>
      <c r="CF24" s="298" t="s">
        <v>347</v>
      </c>
      <c r="CG24" s="299" t="s">
        <v>341</v>
      </c>
      <c r="CH24" s="303">
        <v>28000.02</v>
      </c>
      <c r="CI24" s="300">
        <v>5600.0040000000008</v>
      </c>
      <c r="CJ24" s="318">
        <v>33600.024000000005</v>
      </c>
      <c r="CK24" s="323">
        <f>+(CJ24-$CJ$10)*($CJ$8-$CJ$9)</f>
        <v>4290.0036000000009</v>
      </c>
      <c r="CL24" s="319">
        <f>+(CH24+CI24)*$CL$13</f>
        <v>4999.6835712000002</v>
      </c>
      <c r="CM24" s="319">
        <f>SUM(CJ24:CL24)*$CM$8</f>
        <v>0</v>
      </c>
      <c r="CN24" s="324">
        <f t="shared" si="55"/>
        <v>42889.711171200011</v>
      </c>
    </row>
    <row r="25" spans="1:92" ht="12.75" customHeight="1">
      <c r="A25" s="144"/>
      <c r="B25" s="149" t="s">
        <v>14</v>
      </c>
      <c r="C25" s="151" t="s">
        <v>82</v>
      </c>
      <c r="D25" s="122">
        <v>21908.920000000002</v>
      </c>
      <c r="E25" s="122">
        <f t="shared" si="4"/>
        <v>4381.7840000000006</v>
      </c>
      <c r="F25" s="129">
        <f t="shared" si="5"/>
        <v>26290.704000000002</v>
      </c>
      <c r="G25" s="122">
        <f t="shared" si="6"/>
        <v>2796.6671520000004</v>
      </c>
      <c r="H25" s="122">
        <f t="shared" si="7"/>
        <v>3891.0241919999999</v>
      </c>
      <c r="I25" s="130">
        <f t="shared" si="8"/>
        <v>32978.395344000004</v>
      </c>
      <c r="J25" s="144"/>
      <c r="K25" s="140">
        <v>22238</v>
      </c>
      <c r="L25" s="122">
        <f t="shared" si="9"/>
        <v>4447.6000000000004</v>
      </c>
      <c r="M25" s="129">
        <f t="shared" si="10"/>
        <v>26685.599999999999</v>
      </c>
      <c r="N25" s="122">
        <f t="shared" si="11"/>
        <v>2826.3227999999999</v>
      </c>
      <c r="O25" s="122">
        <f t="shared" si="12"/>
        <v>3949.4687999999996</v>
      </c>
      <c r="P25" s="130">
        <f t="shared" si="13"/>
        <v>33461.391600000003</v>
      </c>
      <c r="Q25" s="144"/>
      <c r="R25" s="140">
        <f t="shared" si="14"/>
        <v>482.99625599999854</v>
      </c>
      <c r="S25" s="180">
        <f t="shared" si="15"/>
        <v>1.4645838615306475E-2</v>
      </c>
      <c r="T25" s="183"/>
      <c r="U25" s="144"/>
      <c r="V25" s="140">
        <v>22482</v>
      </c>
      <c r="W25" s="122">
        <f t="shared" si="16"/>
        <v>4496.4000000000005</v>
      </c>
      <c r="X25" s="122">
        <v>0</v>
      </c>
      <c r="Y25" s="129">
        <f t="shared" si="17"/>
        <v>26978.400000000001</v>
      </c>
      <c r="Z25" s="122">
        <f t="shared" si="18"/>
        <v>2866.7292000000002</v>
      </c>
      <c r="AA25" s="122">
        <f t="shared" si="19"/>
        <v>3992.8031999999998</v>
      </c>
      <c r="AB25" s="130">
        <f t="shared" si="20"/>
        <v>33837.932400000005</v>
      </c>
      <c r="AC25" s="144"/>
      <c r="AD25" s="140">
        <f t="shared" si="21"/>
        <v>376.54080000000249</v>
      </c>
      <c r="AE25" s="180">
        <f t="shared" si="22"/>
        <v>1.1252992837273464E-2</v>
      </c>
      <c r="AF25" s="183"/>
      <c r="AG25" s="144"/>
      <c r="AH25" s="140">
        <v>24157</v>
      </c>
      <c r="AI25" s="122">
        <f t="shared" si="23"/>
        <v>4831.4000000000005</v>
      </c>
      <c r="AJ25" s="122">
        <v>0</v>
      </c>
      <c r="AK25" s="129">
        <f t="shared" si="24"/>
        <v>28988.400000000001</v>
      </c>
      <c r="AL25" s="122">
        <f t="shared" si="25"/>
        <v>3144.1092000000003</v>
      </c>
      <c r="AM25" s="122">
        <f t="shared" si="26"/>
        <v>4290.2831999999999</v>
      </c>
      <c r="AN25" s="130">
        <f t="shared" si="27"/>
        <v>36422.792399999998</v>
      </c>
      <c r="AO25" s="144"/>
      <c r="AP25" s="140">
        <f t="shared" si="28"/>
        <v>2584.8599999999933</v>
      </c>
      <c r="AQ25" s="180">
        <f t="shared" si="29"/>
        <v>7.6389419112380313E-2</v>
      </c>
      <c r="AR25" s="183"/>
      <c r="AS25" s="144"/>
      <c r="AT25" s="140" t="e">
        <f>#REF!</f>
        <v>#REF!</v>
      </c>
      <c r="AU25" s="122" t="e">
        <f t="shared" si="47"/>
        <v>#REF!</v>
      </c>
      <c r="AV25" s="122">
        <v>0</v>
      </c>
      <c r="AW25" s="129" t="e">
        <f t="shared" si="30"/>
        <v>#REF!</v>
      </c>
      <c r="AX25" s="122" t="e">
        <f t="shared" si="48"/>
        <v>#REF!</v>
      </c>
      <c r="AY25" s="122" t="e">
        <f t="shared" si="32"/>
        <v>#REF!</v>
      </c>
      <c r="AZ25" s="130" t="e">
        <f t="shared" si="33"/>
        <v>#REF!</v>
      </c>
      <c r="BA25" s="207"/>
      <c r="BB25" s="140" t="e">
        <f t="shared" si="34"/>
        <v>#REF!</v>
      </c>
      <c r="BC25" s="180" t="e">
        <f t="shared" si="35"/>
        <v>#REF!</v>
      </c>
      <c r="BD25" s="183"/>
      <c r="BE25" s="207" t="e">
        <f t="shared" si="49"/>
        <v>#REF!</v>
      </c>
      <c r="BF25" s="140" t="e">
        <f t="shared" si="50"/>
        <v>#REF!</v>
      </c>
      <c r="BG25" s="122" t="e">
        <f t="shared" si="51"/>
        <v>#REF!</v>
      </c>
      <c r="BH25" s="122">
        <v>0</v>
      </c>
      <c r="BI25" s="129" t="e">
        <f t="shared" si="36"/>
        <v>#REF!</v>
      </c>
      <c r="BJ25" s="122" t="e">
        <f t="shared" si="52"/>
        <v>#REF!</v>
      </c>
      <c r="BK25" s="122" t="e">
        <f t="shared" si="37"/>
        <v>#REF!</v>
      </c>
      <c r="BL25" s="130" t="e">
        <f t="shared" si="38"/>
        <v>#REF!</v>
      </c>
      <c r="BM25" s="207"/>
      <c r="BN25" s="140" t="e">
        <f t="shared" si="39"/>
        <v>#REF!</v>
      </c>
      <c r="BO25" s="180" t="e">
        <f t="shared" si="40"/>
        <v>#REF!</v>
      </c>
      <c r="BP25" s="183"/>
      <c r="BR25" s="140" t="e">
        <f>#REF!</f>
        <v>#REF!</v>
      </c>
      <c r="BS25" s="122" t="e">
        <f t="shared" si="53"/>
        <v>#REF!</v>
      </c>
      <c r="BT25" s="122">
        <v>0</v>
      </c>
      <c r="BU25" s="129" t="e">
        <f t="shared" si="41"/>
        <v>#REF!</v>
      </c>
      <c r="BV25" s="122" t="e">
        <f t="shared" si="54"/>
        <v>#REF!</v>
      </c>
      <c r="BW25" s="122" t="e">
        <f t="shared" si="42"/>
        <v>#REF!</v>
      </c>
      <c r="BX25" s="130" t="e">
        <f t="shared" si="43"/>
        <v>#REF!</v>
      </c>
      <c r="BY25" s="291" t="e">
        <f t="shared" si="56"/>
        <v>#REF!</v>
      </c>
      <c r="BZ25" s="140" t="e">
        <f t="shared" si="45"/>
        <v>#REF!</v>
      </c>
      <c r="CA25" s="180" t="e">
        <f t="shared" si="46"/>
        <v>#REF!</v>
      </c>
      <c r="CB25" s="183"/>
      <c r="CD25" s="149" t="s">
        <v>14</v>
      </c>
      <c r="CE25" s="301" t="s">
        <v>348</v>
      </c>
      <c r="CF25" s="298" t="s">
        <v>349</v>
      </c>
      <c r="CG25" s="299" t="s">
        <v>350</v>
      </c>
      <c r="CH25" s="303">
        <v>28931.279999999999</v>
      </c>
      <c r="CI25" s="300">
        <v>5786.2560000000003</v>
      </c>
      <c r="CJ25" s="318">
        <v>34717.536</v>
      </c>
      <c r="CK25" s="323">
        <f>+(CJ25-$CJ$10)*($CJ$8-$CJ$9)</f>
        <v>4457.6304</v>
      </c>
      <c r="CL25" s="319">
        <f>+(CH25+CI25)*$CL$13</f>
        <v>5165.9693567999993</v>
      </c>
      <c r="CM25" s="319">
        <f>SUM(CJ25:CL25)*$CM$8</f>
        <v>0</v>
      </c>
      <c r="CN25" s="324">
        <f t="shared" si="55"/>
        <v>44341.135756800002</v>
      </c>
    </row>
    <row r="26" spans="1:92" ht="12.75" customHeight="1" thickBot="1">
      <c r="A26" s="144"/>
      <c r="B26" s="198" t="s">
        <v>14</v>
      </c>
      <c r="C26" s="199" t="s">
        <v>84</v>
      </c>
      <c r="D26" s="126">
        <v>22682.58</v>
      </c>
      <c r="E26" s="126">
        <f t="shared" si="4"/>
        <v>4536.5160000000005</v>
      </c>
      <c r="F26" s="127">
        <f t="shared" si="5"/>
        <v>27219.096000000001</v>
      </c>
      <c r="G26" s="126">
        <f t="shared" si="6"/>
        <v>2924.7852480000006</v>
      </c>
      <c r="H26" s="126">
        <f t="shared" si="7"/>
        <v>4028.4262079999999</v>
      </c>
      <c r="I26" s="128">
        <f t="shared" si="8"/>
        <v>34172.307456000002</v>
      </c>
      <c r="J26" s="144"/>
      <c r="K26" s="139">
        <v>23363</v>
      </c>
      <c r="L26" s="126">
        <f t="shared" si="9"/>
        <v>4672.6000000000004</v>
      </c>
      <c r="M26" s="127">
        <f t="shared" si="10"/>
        <v>28035.599999999999</v>
      </c>
      <c r="N26" s="126">
        <f t="shared" si="11"/>
        <v>3012.6228000000001</v>
      </c>
      <c r="O26" s="126">
        <f t="shared" si="12"/>
        <v>4149.2687999999998</v>
      </c>
      <c r="P26" s="128">
        <f t="shared" si="13"/>
        <v>35197.491600000001</v>
      </c>
      <c r="Q26" s="144"/>
      <c r="R26" s="139">
        <f t="shared" si="14"/>
        <v>1025.1841439999989</v>
      </c>
      <c r="S26" s="179">
        <f t="shared" si="15"/>
        <v>3.0000436620208279E-2</v>
      </c>
      <c r="T26" s="182">
        <f>SUM(R23:R26)/SUM(I23:I26)</f>
        <v>2.4522120314480159E-2</v>
      </c>
      <c r="U26" s="144"/>
      <c r="V26" s="139">
        <v>23761</v>
      </c>
      <c r="W26" s="126">
        <f t="shared" si="16"/>
        <v>4752.2</v>
      </c>
      <c r="X26" s="126">
        <v>261</v>
      </c>
      <c r="Y26" s="127">
        <f t="shared" si="17"/>
        <v>28774.2</v>
      </c>
      <c r="Z26" s="126">
        <f t="shared" si="18"/>
        <v>3114.5496000000003</v>
      </c>
      <c r="AA26" s="126">
        <f t="shared" si="19"/>
        <v>4219.9535999999998</v>
      </c>
      <c r="AB26" s="128">
        <f t="shared" si="20"/>
        <v>36108.703200000004</v>
      </c>
      <c r="AC26" s="144"/>
      <c r="AD26" s="139">
        <f t="shared" si="21"/>
        <v>911.21160000000236</v>
      </c>
      <c r="AE26" s="179">
        <f t="shared" si="22"/>
        <v>2.5888538034341126E-2</v>
      </c>
      <c r="AF26" s="182">
        <f>SUM(AD23:AD26)/SUM(P23:P26)</f>
        <v>2.2791884726502953E-2</v>
      </c>
      <c r="AG26" s="144"/>
      <c r="AH26" s="139">
        <v>24157</v>
      </c>
      <c r="AI26" s="126">
        <f t="shared" si="23"/>
        <v>4831.4000000000005</v>
      </c>
      <c r="AJ26" s="126">
        <v>0</v>
      </c>
      <c r="AK26" s="127">
        <f t="shared" si="24"/>
        <v>28988.400000000001</v>
      </c>
      <c r="AL26" s="126">
        <f t="shared" si="25"/>
        <v>3144.1092000000003</v>
      </c>
      <c r="AM26" s="126">
        <f t="shared" si="26"/>
        <v>4290.2831999999999</v>
      </c>
      <c r="AN26" s="128">
        <f t="shared" si="27"/>
        <v>36422.792399999998</v>
      </c>
      <c r="AO26" s="144"/>
      <c r="AP26" s="139">
        <f t="shared" si="28"/>
        <v>314.08919999999489</v>
      </c>
      <c r="AQ26" s="179">
        <f t="shared" si="29"/>
        <v>8.6984347862150545E-3</v>
      </c>
      <c r="AR26" s="182">
        <f>SUM(AP23:AP26)/SUM(AB23:AB26)</f>
        <v>3.8507760577871537E-2</v>
      </c>
      <c r="AS26" s="144"/>
      <c r="AT26" s="139" t="e">
        <f>#REF!</f>
        <v>#REF!</v>
      </c>
      <c r="AU26" s="126" t="e">
        <f t="shared" si="47"/>
        <v>#REF!</v>
      </c>
      <c r="AV26" s="126">
        <v>0</v>
      </c>
      <c r="AW26" s="127" t="e">
        <f t="shared" si="30"/>
        <v>#REF!</v>
      </c>
      <c r="AX26" s="126" t="e">
        <f t="shared" si="48"/>
        <v>#REF!</v>
      </c>
      <c r="AY26" s="126" t="e">
        <f t="shared" si="32"/>
        <v>#REF!</v>
      </c>
      <c r="AZ26" s="128" t="e">
        <f t="shared" si="33"/>
        <v>#REF!</v>
      </c>
      <c r="BA26" s="207"/>
      <c r="BB26" s="139" t="e">
        <f t="shared" si="34"/>
        <v>#REF!</v>
      </c>
      <c r="BC26" s="179" t="e">
        <f t="shared" si="35"/>
        <v>#REF!</v>
      </c>
      <c r="BD26" s="182" t="e">
        <f>SUM(BB23:BB26)/SUM(AN23:AN26)</f>
        <v>#REF!</v>
      </c>
      <c r="BE26" s="207" t="e">
        <f t="shared" si="49"/>
        <v>#REF!</v>
      </c>
      <c r="BF26" s="139" t="e">
        <f t="shared" si="50"/>
        <v>#REF!</v>
      </c>
      <c r="BG26" s="126" t="e">
        <f t="shared" si="51"/>
        <v>#REF!</v>
      </c>
      <c r="BH26" s="126">
        <v>0</v>
      </c>
      <c r="BI26" s="127" t="e">
        <f t="shared" si="36"/>
        <v>#REF!</v>
      </c>
      <c r="BJ26" s="126" t="e">
        <f t="shared" si="52"/>
        <v>#REF!</v>
      </c>
      <c r="BK26" s="126" t="e">
        <f t="shared" si="37"/>
        <v>#REF!</v>
      </c>
      <c r="BL26" s="128" t="e">
        <f t="shared" si="38"/>
        <v>#REF!</v>
      </c>
      <c r="BM26" s="207"/>
      <c r="BN26" s="139" t="e">
        <f t="shared" si="39"/>
        <v>#REF!</v>
      </c>
      <c r="BO26" s="179" t="e">
        <f t="shared" si="40"/>
        <v>#REF!</v>
      </c>
      <c r="BP26" s="182" t="e">
        <f>SUM(BN23:BN26)/SUM(AZ23:AZ26)</f>
        <v>#REF!</v>
      </c>
      <c r="BR26" s="139" t="e">
        <f>#REF!</f>
        <v>#REF!</v>
      </c>
      <c r="BS26" s="126" t="e">
        <f t="shared" si="53"/>
        <v>#REF!</v>
      </c>
      <c r="BT26" s="126">
        <v>0</v>
      </c>
      <c r="BU26" s="127" t="e">
        <f t="shared" si="41"/>
        <v>#REF!</v>
      </c>
      <c r="BV26" s="126" t="e">
        <f t="shared" si="54"/>
        <v>#REF!</v>
      </c>
      <c r="BW26" s="126" t="e">
        <f t="shared" si="42"/>
        <v>#REF!</v>
      </c>
      <c r="BX26" s="128" t="e">
        <f t="shared" si="43"/>
        <v>#REF!</v>
      </c>
      <c r="BY26" s="291" t="e">
        <f t="shared" si="56"/>
        <v>#REF!</v>
      </c>
      <c r="BZ26" s="139" t="e">
        <f t="shared" si="45"/>
        <v>#REF!</v>
      </c>
      <c r="CA26" s="179" t="e">
        <f t="shared" si="46"/>
        <v>#REF!</v>
      </c>
      <c r="CB26" s="182" t="e">
        <f>SUM(BZ23:BZ26)/SUM(BL23:BL26)</f>
        <v>#REF!</v>
      </c>
      <c r="CD26" s="198" t="s">
        <v>14</v>
      </c>
      <c r="CE26" s="308" t="s">
        <v>342</v>
      </c>
      <c r="CF26" s="309" t="s">
        <v>351</v>
      </c>
      <c r="CG26" s="309" t="s">
        <v>352</v>
      </c>
      <c r="CH26" s="311">
        <v>29696.28</v>
      </c>
      <c r="CI26" s="311">
        <v>5939.2560000000003</v>
      </c>
      <c r="CJ26" s="317">
        <v>35635.536</v>
      </c>
      <c r="CK26" s="323">
        <f>+(CJ26-$CJ$10)*($CJ$8-$CJ$9)</f>
        <v>4595.3303999999998</v>
      </c>
      <c r="CL26" s="319">
        <f>+(CH26+CI26)*$CL$13</f>
        <v>5302.5677567999992</v>
      </c>
      <c r="CM26" s="319">
        <f>SUM(CJ26:CL26)*$CM$8</f>
        <v>0</v>
      </c>
      <c r="CN26" s="324">
        <f t="shared" si="55"/>
        <v>45533.434156799995</v>
      </c>
    </row>
    <row r="27" spans="1:92" ht="12.75" customHeight="1">
      <c r="A27" s="144"/>
      <c r="B27" s="196" t="s">
        <v>15</v>
      </c>
      <c r="C27" s="197" t="s">
        <v>83</v>
      </c>
      <c r="D27" s="123">
        <v>22128</v>
      </c>
      <c r="E27" s="123">
        <f t="shared" si="4"/>
        <v>4425.6000000000004</v>
      </c>
      <c r="F27" s="124">
        <f t="shared" si="5"/>
        <v>26553.599999999999</v>
      </c>
      <c r="G27" s="123">
        <f t="shared" si="6"/>
        <v>2832.9468000000002</v>
      </c>
      <c r="H27" s="123">
        <f t="shared" si="7"/>
        <v>3929.9327999999996</v>
      </c>
      <c r="I27" s="125">
        <f t="shared" si="8"/>
        <v>33316.479599999999</v>
      </c>
      <c r="J27" s="144"/>
      <c r="K27" s="138">
        <v>23023</v>
      </c>
      <c r="L27" s="123">
        <f t="shared" si="9"/>
        <v>4604.6000000000004</v>
      </c>
      <c r="M27" s="124">
        <f t="shared" si="10"/>
        <v>27627.599999999999</v>
      </c>
      <c r="N27" s="123">
        <f t="shared" si="11"/>
        <v>2956.3188</v>
      </c>
      <c r="O27" s="123">
        <f t="shared" si="12"/>
        <v>4088.8847999999994</v>
      </c>
      <c r="P27" s="125">
        <f t="shared" si="13"/>
        <v>34672.803599999999</v>
      </c>
      <c r="Q27" s="144"/>
      <c r="R27" s="138">
        <f t="shared" si="14"/>
        <v>1356.3240000000005</v>
      </c>
      <c r="S27" s="178">
        <f t="shared" si="15"/>
        <v>4.0710303618032941E-2</v>
      </c>
      <c r="T27" s="181"/>
      <c r="U27" s="144"/>
      <c r="V27" s="138">
        <v>24214</v>
      </c>
      <c r="W27" s="123">
        <f t="shared" si="16"/>
        <v>4842.8</v>
      </c>
      <c r="X27" s="123">
        <v>0</v>
      </c>
      <c r="Y27" s="124">
        <f t="shared" si="17"/>
        <v>29056.799999999999</v>
      </c>
      <c r="Z27" s="123">
        <f t="shared" si="18"/>
        <v>3153.5484000000001</v>
      </c>
      <c r="AA27" s="123">
        <f t="shared" si="19"/>
        <v>4300.4063999999998</v>
      </c>
      <c r="AB27" s="125">
        <f t="shared" si="20"/>
        <v>36510.754799999995</v>
      </c>
      <c r="AC27" s="144"/>
      <c r="AD27" s="138">
        <f t="shared" si="21"/>
        <v>1837.9511999999959</v>
      </c>
      <c r="AE27" s="178">
        <f t="shared" si="22"/>
        <v>5.3008439156042052E-2</v>
      </c>
      <c r="AF27" s="181"/>
      <c r="AG27" s="144"/>
      <c r="AH27" s="138">
        <v>24907</v>
      </c>
      <c r="AI27" s="123">
        <f t="shared" si="23"/>
        <v>4981.4000000000005</v>
      </c>
      <c r="AJ27" s="123">
        <v>0</v>
      </c>
      <c r="AK27" s="124">
        <f t="shared" si="24"/>
        <v>29888.400000000001</v>
      </c>
      <c r="AL27" s="123">
        <f t="shared" si="25"/>
        <v>3268.3092000000006</v>
      </c>
      <c r="AM27" s="123">
        <f t="shared" si="26"/>
        <v>4423.4831999999997</v>
      </c>
      <c r="AN27" s="125">
        <f t="shared" si="27"/>
        <v>37580.192400000007</v>
      </c>
      <c r="AO27" s="144"/>
      <c r="AP27" s="138">
        <f t="shared" si="28"/>
        <v>1069.437600000012</v>
      </c>
      <c r="AQ27" s="178">
        <f t="shared" si="29"/>
        <v>2.9291029611910741E-2</v>
      </c>
      <c r="AR27" s="181"/>
      <c r="AS27" s="144"/>
      <c r="AT27" s="138">
        <v>25655</v>
      </c>
      <c r="AU27" s="123">
        <f t="shared" si="47"/>
        <v>5131</v>
      </c>
      <c r="AV27" s="123">
        <v>0</v>
      </c>
      <c r="AW27" s="124">
        <f t="shared" si="30"/>
        <v>30786</v>
      </c>
      <c r="AX27" s="123">
        <f t="shared" si="48"/>
        <v>3028.5480000000002</v>
      </c>
      <c r="AY27" s="123">
        <f t="shared" si="32"/>
        <v>4565.5637999999999</v>
      </c>
      <c r="AZ27" s="125">
        <f t="shared" si="33"/>
        <v>38380.111799999999</v>
      </c>
      <c r="BA27" s="207"/>
      <c r="BB27" s="138">
        <f t="shared" si="34"/>
        <v>799.91939999999158</v>
      </c>
      <c r="BC27" s="178">
        <f t="shared" si="35"/>
        <v>2.1285665370888079E-2</v>
      </c>
      <c r="BD27" s="181"/>
      <c r="BE27" s="207">
        <f t="shared" si="49"/>
        <v>1400</v>
      </c>
      <c r="BF27" s="138">
        <f t="shared" si="50"/>
        <v>27055</v>
      </c>
      <c r="BG27" s="123">
        <f t="shared" si="51"/>
        <v>5411</v>
      </c>
      <c r="BH27" s="123">
        <v>0</v>
      </c>
      <c r="BI27" s="124">
        <f t="shared" si="36"/>
        <v>32466</v>
      </c>
      <c r="BJ27" s="123">
        <f t="shared" si="52"/>
        <v>3516.5830000000005</v>
      </c>
      <c r="BK27" s="123">
        <f t="shared" si="37"/>
        <v>4977.0378000000001</v>
      </c>
      <c r="BL27" s="125">
        <f t="shared" si="38"/>
        <v>40959.620799999997</v>
      </c>
      <c r="BM27" s="207"/>
      <c r="BN27" s="138">
        <f t="shared" si="39"/>
        <v>2579.5089999999982</v>
      </c>
      <c r="BO27" s="178">
        <f t="shared" si="40"/>
        <v>6.7209522823745357E-2</v>
      </c>
      <c r="BP27" s="181"/>
      <c r="BR27" s="138">
        <v>28407</v>
      </c>
      <c r="BS27" s="123">
        <f t="shared" si="53"/>
        <v>5681.4000000000005</v>
      </c>
      <c r="BT27" s="123">
        <v>0</v>
      </c>
      <c r="BU27" s="124">
        <f t="shared" si="41"/>
        <v>34088.400000000001</v>
      </c>
      <c r="BV27" s="123">
        <f t="shared" si="54"/>
        <v>3448.3992000000003</v>
      </c>
      <c r="BW27" s="123">
        <f t="shared" si="42"/>
        <v>5225.7517200000002</v>
      </c>
      <c r="BX27" s="125">
        <f t="shared" si="43"/>
        <v>42762.550920000001</v>
      </c>
      <c r="BY27" s="291">
        <f t="shared" si="56"/>
        <v>0.25446048861196191</v>
      </c>
      <c r="BZ27" s="138">
        <f t="shared" si="45"/>
        <v>1802.9301200000045</v>
      </c>
      <c r="CA27" s="178">
        <f t="shared" si="46"/>
        <v>4.4017256136316692E-2</v>
      </c>
      <c r="CB27" s="181"/>
      <c r="CD27" s="196" t="s">
        <v>15</v>
      </c>
      <c r="CE27" s="304" t="s">
        <v>336</v>
      </c>
      <c r="CF27" s="305" t="s">
        <v>353</v>
      </c>
      <c r="CG27" s="305" t="s">
        <v>346</v>
      </c>
      <c r="CH27" s="307">
        <v>30568.38</v>
      </c>
      <c r="CI27" s="307">
        <v>6113.6760000000004</v>
      </c>
      <c r="CJ27" s="316">
        <v>36682.056000000004</v>
      </c>
      <c r="CK27" s="320">
        <f>+(CJ27-$CJ$10)*($CJ$8-$CJ$9)</f>
        <v>4752.3084000000008</v>
      </c>
      <c r="CL27" s="321">
        <f>+(CH27+CI27)*$CL$13</f>
        <v>5458.2899328000003</v>
      </c>
      <c r="CM27" s="321">
        <f>SUM(CJ27:CL27)*$CM$8</f>
        <v>0</v>
      </c>
      <c r="CN27" s="322">
        <f t="shared" si="55"/>
        <v>46892.654332800004</v>
      </c>
    </row>
    <row r="28" spans="1:92" ht="12.75" customHeight="1">
      <c r="A28" s="144"/>
      <c r="B28" s="149" t="s">
        <v>15</v>
      </c>
      <c r="C28" s="151" t="s">
        <v>85</v>
      </c>
      <c r="D28" s="122">
        <v>23596.63</v>
      </c>
      <c r="E28" s="122">
        <f t="shared" si="4"/>
        <v>4719.326</v>
      </c>
      <c r="F28" s="129">
        <f t="shared" si="5"/>
        <v>28315.956000000002</v>
      </c>
      <c r="G28" s="122">
        <f t="shared" si="6"/>
        <v>3076.1519280000007</v>
      </c>
      <c r="H28" s="122">
        <f t="shared" si="7"/>
        <v>4190.7614880000001</v>
      </c>
      <c r="I28" s="130">
        <f t="shared" si="8"/>
        <v>35582.869416000001</v>
      </c>
      <c r="J28" s="144"/>
      <c r="K28" s="140">
        <v>23951</v>
      </c>
      <c r="L28" s="122">
        <f t="shared" si="9"/>
        <v>4790.2</v>
      </c>
      <c r="M28" s="129">
        <f t="shared" si="10"/>
        <v>28741.200000000001</v>
      </c>
      <c r="N28" s="122">
        <f t="shared" si="11"/>
        <v>3109.9956000000002</v>
      </c>
      <c r="O28" s="122">
        <f t="shared" si="12"/>
        <v>4253.6975999999995</v>
      </c>
      <c r="P28" s="130">
        <f t="shared" si="13"/>
        <v>36104.893199999999</v>
      </c>
      <c r="Q28" s="144"/>
      <c r="R28" s="140">
        <f t="shared" si="14"/>
        <v>522.02378399999725</v>
      </c>
      <c r="S28" s="180">
        <f t="shared" si="15"/>
        <v>1.4670648898406908E-2</v>
      </c>
      <c r="T28" s="183"/>
      <c r="U28" s="144"/>
      <c r="V28" s="140">
        <v>24214</v>
      </c>
      <c r="W28" s="122">
        <f t="shared" si="16"/>
        <v>4842.8</v>
      </c>
      <c r="X28" s="122">
        <v>0</v>
      </c>
      <c r="Y28" s="129">
        <f t="shared" si="17"/>
        <v>29056.799999999999</v>
      </c>
      <c r="Z28" s="122">
        <f t="shared" si="18"/>
        <v>3153.5484000000001</v>
      </c>
      <c r="AA28" s="122">
        <f t="shared" si="19"/>
        <v>4300.4063999999998</v>
      </c>
      <c r="AB28" s="130">
        <f t="shared" si="20"/>
        <v>36510.754799999995</v>
      </c>
      <c r="AC28" s="144"/>
      <c r="AD28" s="140">
        <f t="shared" si="21"/>
        <v>405.86159999999654</v>
      </c>
      <c r="AE28" s="180">
        <f t="shared" si="22"/>
        <v>1.1241179907436939E-2</v>
      </c>
      <c r="AF28" s="183"/>
      <c r="AG28" s="144"/>
      <c r="AH28" s="140">
        <v>26970</v>
      </c>
      <c r="AI28" s="122">
        <f t="shared" si="23"/>
        <v>5394</v>
      </c>
      <c r="AJ28" s="122">
        <v>0</v>
      </c>
      <c r="AK28" s="129">
        <f t="shared" si="24"/>
        <v>32364</v>
      </c>
      <c r="AL28" s="122">
        <f t="shared" si="25"/>
        <v>3609.9420000000005</v>
      </c>
      <c r="AM28" s="122">
        <f t="shared" si="26"/>
        <v>4789.8719999999994</v>
      </c>
      <c r="AN28" s="130">
        <f t="shared" si="27"/>
        <v>40763.813999999998</v>
      </c>
      <c r="AO28" s="144"/>
      <c r="AP28" s="140">
        <f t="shared" si="28"/>
        <v>4253.0592000000033</v>
      </c>
      <c r="AQ28" s="180">
        <f t="shared" si="29"/>
        <v>0.11648784647968997</v>
      </c>
      <c r="AR28" s="183"/>
      <c r="AS28" s="144"/>
      <c r="AT28" s="140">
        <v>27780</v>
      </c>
      <c r="AU28" s="122">
        <f t="shared" si="47"/>
        <v>5556</v>
      </c>
      <c r="AV28" s="122">
        <v>0</v>
      </c>
      <c r="AW28" s="129">
        <f t="shared" si="30"/>
        <v>33336</v>
      </c>
      <c r="AX28" s="122">
        <f t="shared" si="48"/>
        <v>3380.4480000000003</v>
      </c>
      <c r="AY28" s="122">
        <f t="shared" si="32"/>
        <v>4943.7287999999999</v>
      </c>
      <c r="AZ28" s="130">
        <f t="shared" si="33"/>
        <v>41660.176800000001</v>
      </c>
      <c r="BA28" s="207"/>
      <c r="BB28" s="140">
        <f t="shared" si="34"/>
        <v>896.36280000000261</v>
      </c>
      <c r="BC28" s="180">
        <f t="shared" si="35"/>
        <v>2.1989178932079384E-2</v>
      </c>
      <c r="BD28" s="183"/>
      <c r="BE28" s="207">
        <f t="shared" si="49"/>
        <v>1400</v>
      </c>
      <c r="BF28" s="140">
        <f t="shared" si="50"/>
        <v>29180</v>
      </c>
      <c r="BG28" s="122">
        <f t="shared" si="51"/>
        <v>5836</v>
      </c>
      <c r="BH28" s="122">
        <v>0</v>
      </c>
      <c r="BI28" s="129">
        <f t="shared" si="36"/>
        <v>35016</v>
      </c>
      <c r="BJ28" s="122">
        <f t="shared" si="52"/>
        <v>3900.3580000000006</v>
      </c>
      <c r="BK28" s="122">
        <f t="shared" si="37"/>
        <v>5367.9528</v>
      </c>
      <c r="BL28" s="130">
        <f t="shared" si="38"/>
        <v>44284.310799999999</v>
      </c>
      <c r="BM28" s="207"/>
      <c r="BN28" s="140">
        <f t="shared" si="39"/>
        <v>2624.1339999999982</v>
      </c>
      <c r="BO28" s="180">
        <f t="shared" si="40"/>
        <v>6.2989026969275802E-2</v>
      </c>
      <c r="BP28" s="183"/>
      <c r="BR28" s="140">
        <v>30639</v>
      </c>
      <c r="BS28" s="122">
        <f t="shared" si="53"/>
        <v>6127.8</v>
      </c>
      <c r="BT28" s="122">
        <v>0</v>
      </c>
      <c r="BU28" s="129">
        <f t="shared" si="41"/>
        <v>36766.800000000003</v>
      </c>
      <c r="BV28" s="122">
        <f t="shared" si="54"/>
        <v>3818.0184000000008</v>
      </c>
      <c r="BW28" s="122">
        <f t="shared" si="42"/>
        <v>5636.3504400000002</v>
      </c>
      <c r="BX28" s="130">
        <f t="shared" si="43"/>
        <v>46221.168840000006</v>
      </c>
      <c r="BY28" s="291">
        <f t="shared" si="56"/>
        <v>0.25714418551519302</v>
      </c>
      <c r="BZ28" s="140">
        <f t="shared" si="45"/>
        <v>1936.8580400000064</v>
      </c>
      <c r="CA28" s="180">
        <f t="shared" si="46"/>
        <v>4.3736890221626898E-2</v>
      </c>
      <c r="CB28" s="183"/>
      <c r="CD28" s="149" t="s">
        <v>15</v>
      </c>
      <c r="CE28" s="297" t="s">
        <v>354</v>
      </c>
      <c r="CF28" s="298" t="s">
        <v>355</v>
      </c>
      <c r="CG28" s="299" t="s">
        <v>341</v>
      </c>
      <c r="CH28" s="300">
        <v>32970.480000000003</v>
      </c>
      <c r="CI28" s="300">
        <v>6594.0960000000014</v>
      </c>
      <c r="CJ28" s="318">
        <v>39564.576000000001</v>
      </c>
      <c r="CK28" s="323">
        <f>+(CJ28-$CJ$10)*($CJ$8-$CJ$9)</f>
        <v>5184.6863999999996</v>
      </c>
      <c r="CL28" s="319">
        <f>+(CH28+CI28)*$CL$13</f>
        <v>5887.2089087999993</v>
      </c>
      <c r="CM28" s="319">
        <f>SUM(CJ28:CL28)*$CM$8</f>
        <v>0</v>
      </c>
      <c r="CN28" s="324">
        <f t="shared" si="55"/>
        <v>50636.471308799999</v>
      </c>
    </row>
    <row r="29" spans="1:92" ht="13.5" customHeight="1">
      <c r="A29" s="144"/>
      <c r="B29" s="149" t="s">
        <v>15</v>
      </c>
      <c r="C29" s="151" t="s">
        <v>86</v>
      </c>
      <c r="D29" s="122">
        <v>24547.040000000001</v>
      </c>
      <c r="E29" s="122">
        <f t="shared" si="4"/>
        <v>4909.4080000000004</v>
      </c>
      <c r="F29" s="129">
        <f t="shared" si="5"/>
        <v>29456.448</v>
      </c>
      <c r="G29" s="122">
        <f t="shared" si="6"/>
        <v>3233.5398240000004</v>
      </c>
      <c r="H29" s="122">
        <f t="shared" si="7"/>
        <v>4359.5543040000002</v>
      </c>
      <c r="I29" s="130">
        <f t="shared" si="8"/>
        <v>37049.542128000001</v>
      </c>
      <c r="J29" s="144"/>
      <c r="K29" s="140">
        <v>24915</v>
      </c>
      <c r="L29" s="122">
        <f t="shared" si="9"/>
        <v>4983</v>
      </c>
      <c r="M29" s="129">
        <f t="shared" si="10"/>
        <v>29898</v>
      </c>
      <c r="N29" s="122">
        <f t="shared" si="11"/>
        <v>3269.6340000000005</v>
      </c>
      <c r="O29" s="122">
        <f t="shared" si="12"/>
        <v>4424.9039999999995</v>
      </c>
      <c r="P29" s="130">
        <f t="shared" si="13"/>
        <v>37592.538</v>
      </c>
      <c r="Q29" s="144"/>
      <c r="R29" s="140">
        <f t="shared" si="14"/>
        <v>542.99587199999951</v>
      </c>
      <c r="S29" s="180">
        <f t="shared" si="15"/>
        <v>1.4655940149652569E-2</v>
      </c>
      <c r="T29" s="183"/>
      <c r="U29" s="144"/>
      <c r="V29" s="140">
        <v>26220</v>
      </c>
      <c r="W29" s="122">
        <f t="shared" si="16"/>
        <v>5244</v>
      </c>
      <c r="X29" s="122">
        <v>0</v>
      </c>
      <c r="Y29" s="129">
        <f t="shared" si="17"/>
        <v>31464</v>
      </c>
      <c r="Z29" s="122">
        <f t="shared" si="18"/>
        <v>3485.7420000000002</v>
      </c>
      <c r="AA29" s="122">
        <f t="shared" si="19"/>
        <v>4656.6719999999996</v>
      </c>
      <c r="AB29" s="130">
        <f t="shared" si="20"/>
        <v>39606.413999999997</v>
      </c>
      <c r="AC29" s="144"/>
      <c r="AD29" s="140">
        <f t="shared" si="21"/>
        <v>2013.8759999999966</v>
      </c>
      <c r="AE29" s="180">
        <f t="shared" si="22"/>
        <v>5.3571163511226524E-2</v>
      </c>
      <c r="AF29" s="183"/>
      <c r="AG29" s="144"/>
      <c r="AH29" s="140">
        <v>26970</v>
      </c>
      <c r="AI29" s="122">
        <f t="shared" si="23"/>
        <v>5394</v>
      </c>
      <c r="AJ29" s="122">
        <v>0</v>
      </c>
      <c r="AK29" s="129">
        <f t="shared" si="24"/>
        <v>32364</v>
      </c>
      <c r="AL29" s="122">
        <f t="shared" si="25"/>
        <v>3609.9420000000005</v>
      </c>
      <c r="AM29" s="122">
        <f t="shared" si="26"/>
        <v>4789.8719999999994</v>
      </c>
      <c r="AN29" s="130">
        <f t="shared" si="27"/>
        <v>40763.813999999998</v>
      </c>
      <c r="AO29" s="144"/>
      <c r="AP29" s="140">
        <f t="shared" si="28"/>
        <v>1157.4000000000015</v>
      </c>
      <c r="AQ29" s="180">
        <f t="shared" si="29"/>
        <v>2.9222539561395321E-2</v>
      </c>
      <c r="AR29" s="183"/>
      <c r="AS29" s="144"/>
      <c r="AT29" s="140">
        <f>AT28</f>
        <v>27780</v>
      </c>
      <c r="AU29" s="122">
        <f t="shared" si="47"/>
        <v>5556</v>
      </c>
      <c r="AV29" s="122">
        <v>0</v>
      </c>
      <c r="AW29" s="129">
        <f t="shared" si="30"/>
        <v>33336</v>
      </c>
      <c r="AX29" s="122">
        <f t="shared" si="48"/>
        <v>3380.4480000000003</v>
      </c>
      <c r="AY29" s="122">
        <f t="shared" si="32"/>
        <v>4943.7287999999999</v>
      </c>
      <c r="AZ29" s="130">
        <f t="shared" si="33"/>
        <v>41660.176800000001</v>
      </c>
      <c r="BA29" s="207"/>
      <c r="BB29" s="140">
        <f t="shared" si="34"/>
        <v>896.36280000000261</v>
      </c>
      <c r="BC29" s="180">
        <f t="shared" si="35"/>
        <v>2.1989178932079384E-2</v>
      </c>
      <c r="BD29" s="183"/>
      <c r="BE29" s="207">
        <f t="shared" si="49"/>
        <v>1400</v>
      </c>
      <c r="BF29" s="140">
        <f t="shared" si="50"/>
        <v>29180</v>
      </c>
      <c r="BG29" s="122">
        <f t="shared" si="51"/>
        <v>5836</v>
      </c>
      <c r="BH29" s="122">
        <v>0</v>
      </c>
      <c r="BI29" s="129">
        <f t="shared" si="36"/>
        <v>35016</v>
      </c>
      <c r="BJ29" s="122">
        <f t="shared" si="52"/>
        <v>3900.3580000000006</v>
      </c>
      <c r="BK29" s="122">
        <f t="shared" si="37"/>
        <v>5367.9528</v>
      </c>
      <c r="BL29" s="130">
        <f t="shared" si="38"/>
        <v>44284.310799999999</v>
      </c>
      <c r="BM29" s="207"/>
      <c r="BN29" s="140">
        <f t="shared" si="39"/>
        <v>2624.1339999999982</v>
      </c>
      <c r="BO29" s="180">
        <f t="shared" si="40"/>
        <v>6.2989026969275802E-2</v>
      </c>
      <c r="BP29" s="183"/>
      <c r="BR29" s="140">
        <f>BR28</f>
        <v>30639</v>
      </c>
      <c r="BS29" s="122">
        <f t="shared" si="53"/>
        <v>6127.8</v>
      </c>
      <c r="BT29" s="122">
        <v>0</v>
      </c>
      <c r="BU29" s="129">
        <f t="shared" si="41"/>
        <v>36766.800000000003</v>
      </c>
      <c r="BV29" s="122">
        <f t="shared" si="54"/>
        <v>3818.0184000000008</v>
      </c>
      <c r="BW29" s="122">
        <f t="shared" si="42"/>
        <v>5636.3504400000002</v>
      </c>
      <c r="BX29" s="130">
        <f t="shared" si="43"/>
        <v>46221.168840000006</v>
      </c>
      <c r="BY29" s="291">
        <f t="shared" si="56"/>
        <v>0.25714418551519302</v>
      </c>
      <c r="BZ29" s="140">
        <f t="shared" si="45"/>
        <v>1936.8580400000064</v>
      </c>
      <c r="CA29" s="180">
        <f t="shared" si="46"/>
        <v>4.3736890221626898E-2</v>
      </c>
      <c r="CB29" s="183"/>
      <c r="CD29" s="149" t="s">
        <v>15</v>
      </c>
      <c r="CE29" s="301" t="s">
        <v>339</v>
      </c>
      <c r="CF29" s="298" t="s">
        <v>356</v>
      </c>
      <c r="CG29" s="299" t="s">
        <v>350</v>
      </c>
      <c r="CH29" s="303">
        <v>33820.14</v>
      </c>
      <c r="CI29" s="300">
        <v>6764.0280000000002</v>
      </c>
      <c r="CJ29" s="318">
        <v>40584.167999999998</v>
      </c>
      <c r="CK29" s="323">
        <f>+(CJ29-$CJ$10)*($CJ$8-$CJ$9)</f>
        <v>5337.6251999999995</v>
      </c>
      <c r="CL29" s="319">
        <f>+(CH29+CI29)*$CL$13</f>
        <v>6038.9241983999991</v>
      </c>
      <c r="CM29" s="319">
        <f>SUM(CJ29:CL29)*$CM$8</f>
        <v>0</v>
      </c>
      <c r="CN29" s="324">
        <f t="shared" si="55"/>
        <v>51960.717398399996</v>
      </c>
    </row>
    <row r="30" spans="1:92" ht="12.75" customHeight="1">
      <c r="A30" s="144"/>
      <c r="B30" s="149" t="s">
        <v>15</v>
      </c>
      <c r="C30" s="151" t="s">
        <v>87</v>
      </c>
      <c r="D30" s="122">
        <v>26565.02</v>
      </c>
      <c r="E30" s="122">
        <f t="shared" si="4"/>
        <v>5313.0040000000008</v>
      </c>
      <c r="F30" s="129">
        <f t="shared" si="5"/>
        <v>31878.024000000001</v>
      </c>
      <c r="G30" s="122">
        <f t="shared" si="6"/>
        <v>3567.7173120000007</v>
      </c>
      <c r="H30" s="122">
        <f t="shared" si="7"/>
        <v>4717.9475519999996</v>
      </c>
      <c r="I30" s="130">
        <f t="shared" si="8"/>
        <v>40163.688863999996</v>
      </c>
      <c r="J30" s="144"/>
      <c r="K30" s="140">
        <v>26963</v>
      </c>
      <c r="L30" s="122">
        <f t="shared" si="9"/>
        <v>5392.6</v>
      </c>
      <c r="M30" s="129">
        <f t="shared" si="10"/>
        <v>32355.599999999999</v>
      </c>
      <c r="N30" s="122">
        <f t="shared" si="11"/>
        <v>3608.7828</v>
      </c>
      <c r="O30" s="122">
        <f t="shared" si="12"/>
        <v>4788.6287999999995</v>
      </c>
      <c r="P30" s="130">
        <f t="shared" si="13"/>
        <v>40753.011599999998</v>
      </c>
      <c r="Q30" s="144"/>
      <c r="R30" s="140">
        <f t="shared" si="14"/>
        <v>589.3227360000019</v>
      </c>
      <c r="S30" s="180">
        <f t="shared" si="15"/>
        <v>1.4673023137778332E-2</v>
      </c>
      <c r="T30" s="183"/>
      <c r="U30" s="144"/>
      <c r="V30" s="140">
        <v>27260</v>
      </c>
      <c r="W30" s="122">
        <f t="shared" si="16"/>
        <v>5452</v>
      </c>
      <c r="X30" s="122">
        <v>0</v>
      </c>
      <c r="Y30" s="129">
        <f t="shared" si="17"/>
        <v>32712</v>
      </c>
      <c r="Z30" s="122">
        <f t="shared" si="18"/>
        <v>3657.9660000000003</v>
      </c>
      <c r="AA30" s="122">
        <f t="shared" si="19"/>
        <v>4841.3760000000002</v>
      </c>
      <c r="AB30" s="130">
        <f t="shared" si="20"/>
        <v>41211.342000000004</v>
      </c>
      <c r="AC30" s="144"/>
      <c r="AD30" s="140">
        <f t="shared" si="21"/>
        <v>458.33040000000619</v>
      </c>
      <c r="AE30" s="180">
        <f t="shared" si="22"/>
        <v>1.124654061149204E-2</v>
      </c>
      <c r="AF30" s="183"/>
      <c r="AG30" s="144"/>
      <c r="AH30" s="140">
        <v>27416</v>
      </c>
      <c r="AI30" s="122">
        <f t="shared" si="23"/>
        <v>5483.2000000000007</v>
      </c>
      <c r="AJ30" s="122">
        <v>0</v>
      </c>
      <c r="AK30" s="129">
        <f t="shared" si="24"/>
        <v>32899.199999999997</v>
      </c>
      <c r="AL30" s="122">
        <f t="shared" si="25"/>
        <v>3683.7995999999998</v>
      </c>
      <c r="AM30" s="122">
        <f t="shared" si="26"/>
        <v>4869.0815999999995</v>
      </c>
      <c r="AN30" s="130">
        <f t="shared" si="27"/>
        <v>41452.081199999993</v>
      </c>
      <c r="AO30" s="144"/>
      <c r="AP30" s="140">
        <f t="shared" si="28"/>
        <v>240.73919999998907</v>
      </c>
      <c r="AQ30" s="180">
        <f t="shared" si="29"/>
        <v>5.8415763310981006E-3</v>
      </c>
      <c r="AR30" s="183"/>
      <c r="AS30" s="144"/>
      <c r="AT30" s="140" t="e">
        <f>#REF!</f>
        <v>#REF!</v>
      </c>
      <c r="AU30" s="122" t="e">
        <f t="shared" si="47"/>
        <v>#REF!</v>
      </c>
      <c r="AV30" s="122">
        <v>0</v>
      </c>
      <c r="AW30" s="129" t="e">
        <f t="shared" si="30"/>
        <v>#REF!</v>
      </c>
      <c r="AX30" s="122" t="e">
        <f t="shared" si="48"/>
        <v>#REF!</v>
      </c>
      <c r="AY30" s="122" t="e">
        <f t="shared" si="32"/>
        <v>#REF!</v>
      </c>
      <c r="AZ30" s="130" t="e">
        <f t="shared" si="33"/>
        <v>#REF!</v>
      </c>
      <c r="BA30" s="207"/>
      <c r="BB30" s="140" t="e">
        <f t="shared" si="34"/>
        <v>#REF!</v>
      </c>
      <c r="BC30" s="180" t="e">
        <f t="shared" si="35"/>
        <v>#REF!</v>
      </c>
      <c r="BD30" s="183"/>
      <c r="BE30" s="207" t="e">
        <f t="shared" si="49"/>
        <v>#REF!</v>
      </c>
      <c r="BF30" s="140" t="e">
        <f t="shared" si="50"/>
        <v>#REF!</v>
      </c>
      <c r="BG30" s="122" t="e">
        <f t="shared" si="51"/>
        <v>#REF!</v>
      </c>
      <c r="BH30" s="122">
        <v>0</v>
      </c>
      <c r="BI30" s="129" t="e">
        <f t="shared" si="36"/>
        <v>#REF!</v>
      </c>
      <c r="BJ30" s="122" t="e">
        <f t="shared" si="52"/>
        <v>#REF!</v>
      </c>
      <c r="BK30" s="122" t="e">
        <f t="shared" si="37"/>
        <v>#REF!</v>
      </c>
      <c r="BL30" s="130" t="e">
        <f t="shared" si="38"/>
        <v>#REF!</v>
      </c>
      <c r="BM30" s="207"/>
      <c r="BN30" s="140" t="e">
        <f t="shared" si="39"/>
        <v>#REF!</v>
      </c>
      <c r="BO30" s="180" t="e">
        <f t="shared" si="40"/>
        <v>#REF!</v>
      </c>
      <c r="BP30" s="183"/>
      <c r="BR30" s="140" t="e">
        <f>#REF!</f>
        <v>#REF!</v>
      </c>
      <c r="BS30" s="122" t="e">
        <f t="shared" si="53"/>
        <v>#REF!</v>
      </c>
      <c r="BT30" s="122">
        <v>0</v>
      </c>
      <c r="BU30" s="129" t="e">
        <f t="shared" si="41"/>
        <v>#REF!</v>
      </c>
      <c r="BV30" s="122" t="e">
        <f t="shared" si="54"/>
        <v>#REF!</v>
      </c>
      <c r="BW30" s="122" t="e">
        <f t="shared" si="42"/>
        <v>#REF!</v>
      </c>
      <c r="BX30" s="130" t="e">
        <f t="shared" si="43"/>
        <v>#REF!</v>
      </c>
      <c r="BY30" s="291" t="e">
        <f t="shared" si="56"/>
        <v>#REF!</v>
      </c>
      <c r="BZ30" s="140" t="e">
        <f t="shared" si="45"/>
        <v>#REF!</v>
      </c>
      <c r="CA30" s="180" t="e">
        <f t="shared" si="46"/>
        <v>#REF!</v>
      </c>
      <c r="CB30" s="183"/>
      <c r="CD30" s="149" t="s">
        <v>15</v>
      </c>
      <c r="CE30" s="301" t="s">
        <v>348</v>
      </c>
      <c r="CF30" s="298" t="s">
        <v>357</v>
      </c>
      <c r="CG30" s="299" t="s">
        <v>358</v>
      </c>
      <c r="CH30" s="303">
        <v>35390.94</v>
      </c>
      <c r="CI30" s="300">
        <v>7078.188000000001</v>
      </c>
      <c r="CJ30" s="318">
        <v>42469.128000000004</v>
      </c>
      <c r="CK30" s="323">
        <f>+(CJ30-$CJ$10)*($CJ$8-$CJ$9)</f>
        <v>5620.3692000000001</v>
      </c>
      <c r="CL30" s="319">
        <f>+(CH30+CI30)*$CL$13</f>
        <v>6319.4062463999999</v>
      </c>
      <c r="CM30" s="319">
        <f>SUM(CJ30:CL30)*$CM$8</f>
        <v>0</v>
      </c>
      <c r="CN30" s="324">
        <f t="shared" si="55"/>
        <v>54408.903446400007</v>
      </c>
    </row>
    <row r="31" spans="1:92" ht="12.75" customHeight="1" thickBot="1">
      <c r="A31" s="144"/>
      <c r="B31" s="198" t="s">
        <v>15</v>
      </c>
      <c r="C31" s="199" t="s">
        <v>88</v>
      </c>
      <c r="D31" s="126">
        <v>28746</v>
      </c>
      <c r="E31" s="126">
        <f t="shared" si="4"/>
        <v>5749.2000000000007</v>
      </c>
      <c r="F31" s="127">
        <f t="shared" si="5"/>
        <v>34495.199999999997</v>
      </c>
      <c r="G31" s="126">
        <f t="shared" si="6"/>
        <v>3928.8876</v>
      </c>
      <c r="H31" s="126">
        <f t="shared" si="7"/>
        <v>5105.2895999999992</v>
      </c>
      <c r="I31" s="128">
        <f t="shared" si="8"/>
        <v>43529.377199999995</v>
      </c>
      <c r="J31" s="144"/>
      <c r="K31" s="139">
        <v>29608</v>
      </c>
      <c r="L31" s="126">
        <f t="shared" si="9"/>
        <v>5921.6</v>
      </c>
      <c r="M31" s="127">
        <f t="shared" si="10"/>
        <v>35529.599999999999</v>
      </c>
      <c r="N31" s="126">
        <f t="shared" si="11"/>
        <v>4046.7948000000001</v>
      </c>
      <c r="O31" s="126">
        <f t="shared" si="12"/>
        <v>5258.3807999999999</v>
      </c>
      <c r="P31" s="128">
        <f t="shared" si="13"/>
        <v>44834.775600000001</v>
      </c>
      <c r="Q31" s="144"/>
      <c r="R31" s="139">
        <f t="shared" si="14"/>
        <v>1305.3984000000055</v>
      </c>
      <c r="S31" s="179">
        <f t="shared" si="15"/>
        <v>2.9988905974974656E-2</v>
      </c>
      <c r="T31" s="182">
        <f>SUM(R27:R31)/SUM(I27:I31)</f>
        <v>2.2759018392043535E-2</v>
      </c>
      <c r="U31" s="144"/>
      <c r="V31" s="139">
        <v>30112</v>
      </c>
      <c r="W31" s="126">
        <f t="shared" si="16"/>
        <v>6022.4000000000005</v>
      </c>
      <c r="X31" s="126">
        <v>331</v>
      </c>
      <c r="Y31" s="127">
        <f t="shared" si="17"/>
        <v>36465.4</v>
      </c>
      <c r="Z31" s="126">
        <f t="shared" si="18"/>
        <v>4175.9352000000008</v>
      </c>
      <c r="AA31" s="126">
        <f t="shared" si="19"/>
        <v>5347.8912</v>
      </c>
      <c r="AB31" s="128">
        <f t="shared" si="20"/>
        <v>45989.2264</v>
      </c>
      <c r="AC31" s="144"/>
      <c r="AD31" s="139">
        <f t="shared" si="21"/>
        <v>1154.4507999999987</v>
      </c>
      <c r="AE31" s="179">
        <f t="shared" si="22"/>
        <v>2.5749003637256941E-2</v>
      </c>
      <c r="AF31" s="182">
        <f>SUM(AD27:AD31)/SUM(P27:P31)</f>
        <v>3.026670379222569E-2</v>
      </c>
      <c r="AG31" s="144"/>
      <c r="AH31" s="139">
        <v>30615</v>
      </c>
      <c r="AI31" s="126">
        <f t="shared" si="23"/>
        <v>6123</v>
      </c>
      <c r="AJ31" s="126">
        <v>0</v>
      </c>
      <c r="AK31" s="127">
        <f t="shared" si="24"/>
        <v>36738</v>
      </c>
      <c r="AL31" s="126">
        <f t="shared" si="25"/>
        <v>4213.5540000000001</v>
      </c>
      <c r="AM31" s="126">
        <f t="shared" si="26"/>
        <v>5437.2240000000002</v>
      </c>
      <c r="AN31" s="128">
        <f t="shared" si="27"/>
        <v>46388.778000000006</v>
      </c>
      <c r="AO31" s="144"/>
      <c r="AP31" s="139">
        <f t="shared" si="28"/>
        <v>399.55160000000615</v>
      </c>
      <c r="AQ31" s="179">
        <f t="shared" si="29"/>
        <v>8.6879391387198052E-3</v>
      </c>
      <c r="AR31" s="182">
        <f>SUM(AP27:AP31)/SUM(AB27:AB31)</f>
        <v>3.5631493430876779E-2</v>
      </c>
      <c r="AS31" s="144"/>
      <c r="AT31" s="139" t="e">
        <f>#REF!</f>
        <v>#REF!</v>
      </c>
      <c r="AU31" s="126" t="e">
        <f t="shared" si="47"/>
        <v>#REF!</v>
      </c>
      <c r="AV31" s="126">
        <v>0</v>
      </c>
      <c r="AW31" s="127" t="e">
        <f t="shared" si="30"/>
        <v>#REF!</v>
      </c>
      <c r="AX31" s="126" t="e">
        <f t="shared" si="48"/>
        <v>#REF!</v>
      </c>
      <c r="AY31" s="126" t="e">
        <f t="shared" si="32"/>
        <v>#REF!</v>
      </c>
      <c r="AZ31" s="128" t="e">
        <f t="shared" si="33"/>
        <v>#REF!</v>
      </c>
      <c r="BA31" s="207"/>
      <c r="BB31" s="139" t="e">
        <f t="shared" si="34"/>
        <v>#REF!</v>
      </c>
      <c r="BC31" s="179" t="e">
        <f t="shared" si="35"/>
        <v>#REF!</v>
      </c>
      <c r="BD31" s="182" t="e">
        <f>SUM(BB27:BB31)/SUM(AN27:AN31)</f>
        <v>#REF!</v>
      </c>
      <c r="BE31" s="207" t="e">
        <f t="shared" si="49"/>
        <v>#REF!</v>
      </c>
      <c r="BF31" s="139" t="e">
        <f t="shared" si="50"/>
        <v>#REF!</v>
      </c>
      <c r="BG31" s="126" t="e">
        <f t="shared" si="51"/>
        <v>#REF!</v>
      </c>
      <c r="BH31" s="126">
        <v>0</v>
      </c>
      <c r="BI31" s="127" t="e">
        <f t="shared" si="36"/>
        <v>#REF!</v>
      </c>
      <c r="BJ31" s="126" t="e">
        <f t="shared" si="52"/>
        <v>#REF!</v>
      </c>
      <c r="BK31" s="126" t="e">
        <f t="shared" si="37"/>
        <v>#REF!</v>
      </c>
      <c r="BL31" s="128" t="e">
        <f t="shared" si="38"/>
        <v>#REF!</v>
      </c>
      <c r="BM31" s="207"/>
      <c r="BN31" s="139" t="e">
        <f t="shared" si="39"/>
        <v>#REF!</v>
      </c>
      <c r="BO31" s="179" t="e">
        <f t="shared" si="40"/>
        <v>#REF!</v>
      </c>
      <c r="BP31" s="182" t="e">
        <f>SUM(BN27:BN31)/SUM(AZ27:AZ31)</f>
        <v>#REF!</v>
      </c>
      <c r="BR31" s="139" t="e">
        <f>#REF!</f>
        <v>#REF!</v>
      </c>
      <c r="BS31" s="126" t="e">
        <f t="shared" si="53"/>
        <v>#REF!</v>
      </c>
      <c r="BT31" s="126">
        <v>0</v>
      </c>
      <c r="BU31" s="127" t="e">
        <f t="shared" si="41"/>
        <v>#REF!</v>
      </c>
      <c r="BV31" s="126" t="e">
        <f t="shared" si="54"/>
        <v>#REF!</v>
      </c>
      <c r="BW31" s="126" t="e">
        <f t="shared" si="42"/>
        <v>#REF!</v>
      </c>
      <c r="BX31" s="128" t="e">
        <f t="shared" si="43"/>
        <v>#REF!</v>
      </c>
      <c r="BY31" s="291" t="e">
        <f t="shared" si="56"/>
        <v>#REF!</v>
      </c>
      <c r="BZ31" s="139" t="e">
        <f t="shared" si="45"/>
        <v>#REF!</v>
      </c>
      <c r="CA31" s="179" t="e">
        <f t="shared" si="46"/>
        <v>#REF!</v>
      </c>
      <c r="CB31" s="182" t="e">
        <f>SUM(BZ27:BZ31)/SUM(BL27:BL31)</f>
        <v>#REF!</v>
      </c>
      <c r="CD31" s="198" t="s">
        <v>15</v>
      </c>
      <c r="CE31" s="308" t="s">
        <v>342</v>
      </c>
      <c r="CF31" s="309" t="s">
        <v>359</v>
      </c>
      <c r="CG31" s="309" t="s">
        <v>360</v>
      </c>
      <c r="CH31" s="311">
        <v>37212.660000000003</v>
      </c>
      <c r="CI31" s="311">
        <v>7442.5320000000011</v>
      </c>
      <c r="CJ31" s="317">
        <v>44655.192000000003</v>
      </c>
      <c r="CK31" s="325">
        <f>+(CJ31-$CJ$10)*($CJ$8-$CJ$9)</f>
        <v>5948.2788</v>
      </c>
      <c r="CL31" s="326">
        <f>+(CH31+CI31)*$CL$13</f>
        <v>6644.6925695999998</v>
      </c>
      <c r="CM31" s="326">
        <f>SUM(CJ31:CL31)*$CM$8</f>
        <v>0</v>
      </c>
      <c r="CN31" s="327">
        <f t="shared" si="55"/>
        <v>57248.163369600006</v>
      </c>
    </row>
    <row r="32" spans="1:92" ht="12.75" customHeight="1">
      <c r="A32" s="144"/>
      <c r="B32" s="196" t="s">
        <v>16</v>
      </c>
      <c r="C32" s="197" t="s">
        <v>87</v>
      </c>
      <c r="D32" s="123">
        <v>26565</v>
      </c>
      <c r="E32" s="123">
        <f t="shared" si="4"/>
        <v>5313</v>
      </c>
      <c r="F32" s="124">
        <f>D32+E32</f>
        <v>31878</v>
      </c>
      <c r="G32" s="123">
        <f t="shared" si="6"/>
        <v>3567.7140000000004</v>
      </c>
      <c r="H32" s="123">
        <f t="shared" si="7"/>
        <v>4717.9439999999995</v>
      </c>
      <c r="I32" s="125">
        <f t="shared" si="8"/>
        <v>40163.657999999996</v>
      </c>
      <c r="J32" s="144"/>
      <c r="K32" s="138">
        <v>28050</v>
      </c>
      <c r="L32" s="123">
        <f t="shared" si="9"/>
        <v>5610</v>
      </c>
      <c r="M32" s="124">
        <f>K32+L32</f>
        <v>33660</v>
      </c>
      <c r="N32" s="123">
        <f t="shared" si="11"/>
        <v>3788.7900000000004</v>
      </c>
      <c r="O32" s="123">
        <f t="shared" si="12"/>
        <v>4981.6799999999994</v>
      </c>
      <c r="P32" s="125">
        <f t="shared" si="13"/>
        <v>42430.47</v>
      </c>
      <c r="Q32" s="144"/>
      <c r="R32" s="138">
        <f t="shared" si="14"/>
        <v>2266.8120000000054</v>
      </c>
      <c r="S32" s="178">
        <f t="shared" si="15"/>
        <v>5.6439381094222182E-2</v>
      </c>
      <c r="T32" s="181"/>
      <c r="U32" s="144"/>
      <c r="V32" s="138">
        <v>30401</v>
      </c>
      <c r="W32" s="123">
        <f t="shared" si="16"/>
        <v>6080.2000000000007</v>
      </c>
      <c r="X32" s="123">
        <v>0</v>
      </c>
      <c r="Y32" s="124">
        <f t="shared" si="17"/>
        <v>36481.199999999997</v>
      </c>
      <c r="Z32" s="123">
        <f t="shared" si="18"/>
        <v>4178.1156000000001</v>
      </c>
      <c r="AA32" s="123">
        <f t="shared" si="19"/>
        <v>5399.217599999999</v>
      </c>
      <c r="AB32" s="125">
        <f t="shared" si="20"/>
        <v>46058.533199999991</v>
      </c>
      <c r="AC32" s="144"/>
      <c r="AD32" s="138">
        <f t="shared" si="21"/>
        <v>3628.0631999999896</v>
      </c>
      <c r="AE32" s="178">
        <f t="shared" si="22"/>
        <v>8.5506080889511463E-2</v>
      </c>
      <c r="AF32" s="181"/>
      <c r="AG32" s="144"/>
      <c r="AH32" s="138">
        <v>31365</v>
      </c>
      <c r="AI32" s="123">
        <f t="shared" si="23"/>
        <v>6273</v>
      </c>
      <c r="AJ32" s="123">
        <v>0</v>
      </c>
      <c r="AK32" s="124">
        <f t="shared" si="24"/>
        <v>37638</v>
      </c>
      <c r="AL32" s="123">
        <f t="shared" si="25"/>
        <v>4337.7540000000008</v>
      </c>
      <c r="AM32" s="123">
        <f t="shared" si="26"/>
        <v>5570.424</v>
      </c>
      <c r="AN32" s="125">
        <f t="shared" si="27"/>
        <v>47546.178</v>
      </c>
      <c r="AO32" s="144"/>
      <c r="AP32" s="138">
        <f t="shared" si="28"/>
        <v>1487.6448000000091</v>
      </c>
      <c r="AQ32" s="178">
        <f t="shared" si="29"/>
        <v>3.2299005127675438E-2</v>
      </c>
      <c r="AR32" s="181"/>
      <c r="AS32" s="144"/>
      <c r="AT32" s="138">
        <v>32306</v>
      </c>
      <c r="AU32" s="123">
        <f t="shared" si="47"/>
        <v>6461.2000000000007</v>
      </c>
      <c r="AV32" s="123">
        <v>0</v>
      </c>
      <c r="AW32" s="124">
        <f t="shared" si="30"/>
        <v>38767.199999999997</v>
      </c>
      <c r="AX32" s="123">
        <f t="shared" si="48"/>
        <v>4129.9535999999998</v>
      </c>
      <c r="AY32" s="123">
        <f t="shared" si="32"/>
        <v>5749.1757599999992</v>
      </c>
      <c r="AZ32" s="125">
        <f t="shared" si="33"/>
        <v>48646.329359999996</v>
      </c>
      <c r="BA32" s="207"/>
      <c r="BB32" s="138">
        <f t="shared" si="34"/>
        <v>1100.1513599999962</v>
      </c>
      <c r="BC32" s="178">
        <f t="shared" si="35"/>
        <v>2.313858665989927E-2</v>
      </c>
      <c r="BD32" s="181"/>
      <c r="BE32" s="207">
        <f t="shared" si="49"/>
        <v>1400</v>
      </c>
      <c r="BF32" s="138">
        <f t="shared" si="50"/>
        <v>33706</v>
      </c>
      <c r="BG32" s="123">
        <f t="shared" si="51"/>
        <v>6741.2000000000007</v>
      </c>
      <c r="BH32" s="123">
        <v>0</v>
      </c>
      <c r="BI32" s="124">
        <f t="shared" si="36"/>
        <v>40447.199999999997</v>
      </c>
      <c r="BJ32" s="123">
        <f t="shared" si="52"/>
        <v>4717.7536</v>
      </c>
      <c r="BK32" s="123">
        <f t="shared" si="37"/>
        <v>6200.5557599999993</v>
      </c>
      <c r="BL32" s="125">
        <f t="shared" si="38"/>
        <v>51365.509359999996</v>
      </c>
      <c r="BM32" s="207"/>
      <c r="BN32" s="138">
        <f t="shared" si="39"/>
        <v>2719.1800000000003</v>
      </c>
      <c r="BO32" s="178">
        <f t="shared" si="40"/>
        <v>5.5896920400244569E-2</v>
      </c>
      <c r="BP32" s="181"/>
      <c r="BR32" s="138">
        <v>35392</v>
      </c>
      <c r="BS32" s="123">
        <f t="shared" si="53"/>
        <v>7078.4000000000005</v>
      </c>
      <c r="BT32" s="123">
        <v>0</v>
      </c>
      <c r="BU32" s="124">
        <f t="shared" si="41"/>
        <v>42470.400000000001</v>
      </c>
      <c r="BV32" s="123">
        <f t="shared" si="54"/>
        <v>4605.1152000000002</v>
      </c>
      <c r="BW32" s="123">
        <f t="shared" si="42"/>
        <v>6510.7123199999996</v>
      </c>
      <c r="BX32" s="125">
        <f t="shared" si="43"/>
        <v>53586.22752</v>
      </c>
      <c r="BY32" s="291">
        <f t="shared" si="56"/>
        <v>0.26173117088607589</v>
      </c>
      <c r="BZ32" s="138">
        <f t="shared" si="45"/>
        <v>2220.718160000004</v>
      </c>
      <c r="CA32" s="178">
        <f t="shared" si="46"/>
        <v>4.3233644281338517E-2</v>
      </c>
      <c r="CB32" s="181"/>
      <c r="CD32" s="196" t="s">
        <v>16</v>
      </c>
      <c r="CE32" s="304" t="s">
        <v>336</v>
      </c>
      <c r="CF32" s="305" t="s">
        <v>361</v>
      </c>
      <c r="CG32" s="305" t="s">
        <v>346</v>
      </c>
      <c r="CH32" s="307">
        <v>38085.78</v>
      </c>
      <c r="CI32" s="307">
        <v>7617.1559999999999</v>
      </c>
      <c r="CJ32" s="316">
        <v>45702.936000000002</v>
      </c>
      <c r="CK32" s="323">
        <f>+(CJ32-$CJ$10)*($CJ$8-$CJ$9)</f>
        <v>6105.4404000000004</v>
      </c>
      <c r="CL32" s="319">
        <f>+(CH32+CI32)*$CL$13</f>
        <v>6800.5968767999993</v>
      </c>
      <c r="CM32" s="319">
        <f>SUM(CJ32:CL32)*$CM$8</f>
        <v>0</v>
      </c>
      <c r="CN32" s="324">
        <f t="shared" si="55"/>
        <v>58608.973276800003</v>
      </c>
    </row>
    <row r="33" spans="1:92" ht="12.75" customHeight="1">
      <c r="A33" s="144"/>
      <c r="B33" s="149" t="s">
        <v>16</v>
      </c>
      <c r="C33" s="151" t="s">
        <v>88</v>
      </c>
      <c r="D33" s="122">
        <v>28746</v>
      </c>
      <c r="E33" s="122">
        <f t="shared" si="4"/>
        <v>5749.2000000000007</v>
      </c>
      <c r="F33" s="129">
        <f t="shared" ref="F33:F66" si="57">D33+E33</f>
        <v>34495.199999999997</v>
      </c>
      <c r="G33" s="122">
        <f t="shared" si="6"/>
        <v>3928.8876</v>
      </c>
      <c r="H33" s="122">
        <f t="shared" si="7"/>
        <v>5105.2895999999992</v>
      </c>
      <c r="I33" s="130">
        <f t="shared" si="8"/>
        <v>43529.377199999995</v>
      </c>
      <c r="J33" s="144"/>
      <c r="K33" s="140">
        <v>29177</v>
      </c>
      <c r="L33" s="122">
        <f t="shared" si="9"/>
        <v>5835.4000000000005</v>
      </c>
      <c r="M33" s="129">
        <f t="shared" ref="M33:M66" si="58">K33+L33</f>
        <v>35012.400000000001</v>
      </c>
      <c r="N33" s="122">
        <f t="shared" si="11"/>
        <v>3975.4212000000007</v>
      </c>
      <c r="O33" s="122">
        <f t="shared" si="12"/>
        <v>5181.8351999999995</v>
      </c>
      <c r="P33" s="130">
        <f t="shared" si="13"/>
        <v>44169.656400000007</v>
      </c>
      <c r="Q33" s="144"/>
      <c r="R33" s="140">
        <f t="shared" si="14"/>
        <v>640.27920000001177</v>
      </c>
      <c r="S33" s="180">
        <f t="shared" si="15"/>
        <v>1.4709128436600095E-2</v>
      </c>
      <c r="T33" s="183"/>
      <c r="U33" s="144"/>
      <c r="V33" s="140">
        <v>30401</v>
      </c>
      <c r="W33" s="122">
        <f t="shared" si="16"/>
        <v>6080.2000000000007</v>
      </c>
      <c r="X33" s="122">
        <v>0</v>
      </c>
      <c r="Y33" s="129">
        <f t="shared" si="17"/>
        <v>36481.199999999997</v>
      </c>
      <c r="Z33" s="122">
        <f t="shared" si="18"/>
        <v>4178.1156000000001</v>
      </c>
      <c r="AA33" s="122">
        <f t="shared" si="19"/>
        <v>5399.217599999999</v>
      </c>
      <c r="AB33" s="130">
        <f t="shared" si="20"/>
        <v>46058.533199999991</v>
      </c>
      <c r="AC33" s="144"/>
      <c r="AD33" s="140">
        <f t="shared" si="21"/>
        <v>1888.8767999999836</v>
      </c>
      <c r="AE33" s="180">
        <f t="shared" si="22"/>
        <v>4.2764127094273331E-2</v>
      </c>
      <c r="AF33" s="183"/>
      <c r="AG33" s="144"/>
      <c r="AH33" s="140">
        <v>33176</v>
      </c>
      <c r="AI33" s="122">
        <f t="shared" si="23"/>
        <v>6635.2000000000007</v>
      </c>
      <c r="AJ33" s="122">
        <v>0</v>
      </c>
      <c r="AK33" s="129">
        <f t="shared" si="24"/>
        <v>39811.199999999997</v>
      </c>
      <c r="AL33" s="122">
        <f t="shared" si="25"/>
        <v>4637.6556</v>
      </c>
      <c r="AM33" s="122">
        <f t="shared" si="26"/>
        <v>5892.0575999999992</v>
      </c>
      <c r="AN33" s="130">
        <f t="shared" si="27"/>
        <v>50340.913199999995</v>
      </c>
      <c r="AO33" s="144"/>
      <c r="AP33" s="140">
        <f t="shared" si="28"/>
        <v>4282.3800000000047</v>
      </c>
      <c r="AQ33" s="180">
        <f t="shared" si="29"/>
        <v>9.2976907914210469E-2</v>
      </c>
      <c r="AR33" s="183"/>
      <c r="AS33" s="144"/>
      <c r="AT33" s="140">
        <v>34172</v>
      </c>
      <c r="AU33" s="122">
        <f t="shared" si="47"/>
        <v>6834.4000000000005</v>
      </c>
      <c r="AV33" s="122">
        <v>0</v>
      </c>
      <c r="AW33" s="129">
        <f t="shared" si="30"/>
        <v>41006.400000000001</v>
      </c>
      <c r="AX33" s="122">
        <f t="shared" si="48"/>
        <v>4438.9632000000001</v>
      </c>
      <c r="AY33" s="122">
        <f t="shared" si="32"/>
        <v>6081.2491199999995</v>
      </c>
      <c r="AZ33" s="130">
        <f t="shared" si="33"/>
        <v>51526.61232</v>
      </c>
      <c r="BA33" s="207"/>
      <c r="BB33" s="140">
        <f t="shared" si="34"/>
        <v>1185.6991200000048</v>
      </c>
      <c r="BC33" s="180">
        <f t="shared" si="35"/>
        <v>2.3553389174513523E-2</v>
      </c>
      <c r="BD33" s="183"/>
      <c r="BE33" s="207">
        <f t="shared" si="49"/>
        <v>1400</v>
      </c>
      <c r="BF33" s="278">
        <f t="shared" si="50"/>
        <v>35572</v>
      </c>
      <c r="BG33" s="122">
        <f t="shared" si="51"/>
        <v>7114.4000000000005</v>
      </c>
      <c r="BH33" s="122">
        <v>0</v>
      </c>
      <c r="BI33" s="129">
        <f t="shared" si="36"/>
        <v>42686.400000000001</v>
      </c>
      <c r="BJ33" s="122">
        <f t="shared" si="52"/>
        <v>5054.753200000001</v>
      </c>
      <c r="BK33" s="122">
        <f t="shared" si="37"/>
        <v>6543.8251199999995</v>
      </c>
      <c r="BL33" s="130">
        <f t="shared" si="38"/>
        <v>54284.978320000002</v>
      </c>
      <c r="BM33" s="207"/>
      <c r="BN33" s="140">
        <f t="shared" si="39"/>
        <v>2758.3660000000018</v>
      </c>
      <c r="BO33" s="180">
        <f t="shared" si="40"/>
        <v>5.3532842075265735E-2</v>
      </c>
      <c r="BP33" s="183"/>
      <c r="BR33" s="286">
        <v>37350</v>
      </c>
      <c r="BS33" s="122">
        <f t="shared" si="53"/>
        <v>7470</v>
      </c>
      <c r="BT33" s="122">
        <v>0</v>
      </c>
      <c r="BU33" s="129">
        <f t="shared" si="41"/>
        <v>44820</v>
      </c>
      <c r="BV33" s="122">
        <f t="shared" si="54"/>
        <v>4929.3600000000006</v>
      </c>
      <c r="BW33" s="122">
        <f t="shared" si="42"/>
        <v>6870.9059999999999</v>
      </c>
      <c r="BX33" s="130">
        <f t="shared" si="43"/>
        <v>56620.266000000003</v>
      </c>
      <c r="BY33" s="291">
        <f t="shared" si="56"/>
        <v>0.26328125836680072</v>
      </c>
      <c r="BZ33" s="140">
        <f t="shared" si="45"/>
        <v>2335.2876800000013</v>
      </c>
      <c r="CA33" s="180">
        <f t="shared" si="46"/>
        <v>4.3019040483610556E-2</v>
      </c>
      <c r="CB33" s="183"/>
      <c r="CD33" s="149" t="s">
        <v>16</v>
      </c>
      <c r="CE33" s="297" t="s">
        <v>354</v>
      </c>
      <c r="CF33" s="298" t="s">
        <v>362</v>
      </c>
      <c r="CG33" s="299" t="s">
        <v>341</v>
      </c>
      <c r="CH33" s="300">
        <v>40192.080000000002</v>
      </c>
      <c r="CI33" s="300">
        <v>8038.4160000000011</v>
      </c>
      <c r="CJ33" s="318">
        <v>48230.495999999999</v>
      </c>
      <c r="CK33" s="323">
        <f>+(CJ33-$CJ$10)*($CJ$8-$CJ$9)</f>
        <v>6484.5743999999995</v>
      </c>
      <c r="CL33" s="319">
        <f>+(CH33+CI33)*$CL$13</f>
        <v>7176.6978047999992</v>
      </c>
      <c r="CM33" s="319">
        <f>SUM(CJ33:CL33)*$CM$8</f>
        <v>0</v>
      </c>
      <c r="CN33" s="324">
        <f t="shared" si="55"/>
        <v>61891.768204799999</v>
      </c>
    </row>
    <row r="34" spans="1:92" ht="12.75" customHeight="1">
      <c r="A34" s="144"/>
      <c r="B34" s="149" t="s">
        <v>16</v>
      </c>
      <c r="C34" s="151" t="s">
        <v>89</v>
      </c>
      <c r="D34" s="122">
        <v>30660.57</v>
      </c>
      <c r="E34" s="122">
        <f t="shared" si="4"/>
        <v>6132.1140000000005</v>
      </c>
      <c r="F34" s="129">
        <f t="shared" si="57"/>
        <v>36792.684000000001</v>
      </c>
      <c r="G34" s="122">
        <f t="shared" si="6"/>
        <v>4245.9403920000004</v>
      </c>
      <c r="H34" s="122">
        <f t="shared" si="7"/>
        <v>5445.3172320000003</v>
      </c>
      <c r="I34" s="130">
        <f t="shared" si="8"/>
        <v>46483.941623999999</v>
      </c>
      <c r="J34" s="144"/>
      <c r="K34" s="140">
        <v>31121</v>
      </c>
      <c r="L34" s="122">
        <f t="shared" si="9"/>
        <v>6224.2000000000007</v>
      </c>
      <c r="M34" s="129">
        <f t="shared" si="58"/>
        <v>37345.199999999997</v>
      </c>
      <c r="N34" s="122">
        <f t="shared" si="11"/>
        <v>4297.3476000000001</v>
      </c>
      <c r="O34" s="122">
        <f t="shared" si="12"/>
        <v>5527.0895999999993</v>
      </c>
      <c r="P34" s="130">
        <f t="shared" si="13"/>
        <v>47169.637199999997</v>
      </c>
      <c r="Q34" s="144"/>
      <c r="R34" s="140">
        <f t="shared" si="14"/>
        <v>685.69557599999825</v>
      </c>
      <c r="S34" s="180">
        <f t="shared" si="15"/>
        <v>1.4751235632005196E-2</v>
      </c>
      <c r="T34" s="183"/>
      <c r="U34" s="144"/>
      <c r="V34" s="140">
        <v>32525</v>
      </c>
      <c r="W34" s="122">
        <f t="shared" si="16"/>
        <v>6505</v>
      </c>
      <c r="X34" s="122">
        <v>0</v>
      </c>
      <c r="Y34" s="129">
        <f t="shared" si="17"/>
        <v>39030</v>
      </c>
      <c r="Z34" s="122">
        <f t="shared" si="18"/>
        <v>4529.8500000000004</v>
      </c>
      <c r="AA34" s="122">
        <f t="shared" si="19"/>
        <v>5776.44</v>
      </c>
      <c r="AB34" s="130">
        <f t="shared" si="20"/>
        <v>49336.29</v>
      </c>
      <c r="AC34" s="144"/>
      <c r="AD34" s="140">
        <f t="shared" ref="AD34:AD55" si="59">AB34-P34</f>
        <v>2166.6528000000035</v>
      </c>
      <c r="AE34" s="180">
        <f t="shared" ref="AE34:AE55" si="60">AD34/P34</f>
        <v>4.5933208916010139E-2</v>
      </c>
      <c r="AF34" s="183"/>
      <c r="AG34" s="144"/>
      <c r="AH34" s="140">
        <v>33176</v>
      </c>
      <c r="AI34" s="122">
        <f t="shared" si="23"/>
        <v>6635.2000000000007</v>
      </c>
      <c r="AJ34" s="122">
        <v>0</v>
      </c>
      <c r="AK34" s="129">
        <f t="shared" si="24"/>
        <v>39811.199999999997</v>
      </c>
      <c r="AL34" s="122">
        <f t="shared" si="25"/>
        <v>4637.6556</v>
      </c>
      <c r="AM34" s="122">
        <f t="shared" si="26"/>
        <v>5892.0575999999992</v>
      </c>
      <c r="AN34" s="130">
        <f t="shared" si="27"/>
        <v>50340.913199999995</v>
      </c>
      <c r="AO34" s="144"/>
      <c r="AP34" s="140">
        <f t="shared" ref="AP34:AP55" si="61">AN34-AB34</f>
        <v>1004.6231999999945</v>
      </c>
      <c r="AQ34" s="180">
        <f t="shared" ref="AQ34:AQ55" si="62">AP34/AB34</f>
        <v>2.0362763393842433E-2</v>
      </c>
      <c r="AR34" s="183"/>
      <c r="AS34" s="144"/>
      <c r="AT34" s="140" t="e">
        <f>#REF!</f>
        <v>#REF!</v>
      </c>
      <c r="AU34" s="122" t="e">
        <f t="shared" si="47"/>
        <v>#REF!</v>
      </c>
      <c r="AV34" s="122">
        <v>0</v>
      </c>
      <c r="AW34" s="129" t="e">
        <f t="shared" si="30"/>
        <v>#REF!</v>
      </c>
      <c r="AX34" s="122" t="e">
        <f t="shared" si="48"/>
        <v>#REF!</v>
      </c>
      <c r="AY34" s="122" t="e">
        <f t="shared" si="32"/>
        <v>#REF!</v>
      </c>
      <c r="AZ34" s="130" t="e">
        <f t="shared" si="33"/>
        <v>#REF!</v>
      </c>
      <c r="BA34" s="207"/>
      <c r="BB34" s="140" t="e">
        <f t="shared" si="34"/>
        <v>#REF!</v>
      </c>
      <c r="BC34" s="180" t="e">
        <f t="shared" si="35"/>
        <v>#REF!</v>
      </c>
      <c r="BD34" s="183"/>
      <c r="BE34" s="207" t="e">
        <f t="shared" si="49"/>
        <v>#REF!</v>
      </c>
      <c r="BF34" s="278" t="e">
        <f t="shared" si="50"/>
        <v>#REF!</v>
      </c>
      <c r="BG34" s="122" t="e">
        <f t="shared" si="51"/>
        <v>#REF!</v>
      </c>
      <c r="BH34" s="122">
        <v>0</v>
      </c>
      <c r="BI34" s="129" t="e">
        <f t="shared" si="36"/>
        <v>#REF!</v>
      </c>
      <c r="BJ34" s="122" t="e">
        <f t="shared" si="52"/>
        <v>#REF!</v>
      </c>
      <c r="BK34" s="122" t="e">
        <f t="shared" si="37"/>
        <v>#REF!</v>
      </c>
      <c r="BL34" s="130" t="e">
        <f t="shared" si="38"/>
        <v>#REF!</v>
      </c>
      <c r="BM34" s="207"/>
      <c r="BN34" s="140" t="e">
        <f t="shared" si="39"/>
        <v>#REF!</v>
      </c>
      <c r="BO34" s="180" t="e">
        <f t="shared" si="40"/>
        <v>#REF!</v>
      </c>
      <c r="BP34" s="183"/>
      <c r="BR34" s="286" t="e">
        <f>#REF!</f>
        <v>#REF!</v>
      </c>
      <c r="BS34" s="122" t="e">
        <f t="shared" si="53"/>
        <v>#REF!</v>
      </c>
      <c r="BT34" s="122">
        <v>0</v>
      </c>
      <c r="BU34" s="129" t="e">
        <f t="shared" si="41"/>
        <v>#REF!</v>
      </c>
      <c r="BV34" s="122" t="e">
        <f t="shared" si="54"/>
        <v>#REF!</v>
      </c>
      <c r="BW34" s="122" t="e">
        <f t="shared" si="42"/>
        <v>#REF!</v>
      </c>
      <c r="BX34" s="130" t="e">
        <f t="shared" si="43"/>
        <v>#REF!</v>
      </c>
      <c r="BY34" s="291" t="e">
        <f t="shared" si="56"/>
        <v>#REF!</v>
      </c>
      <c r="BZ34" s="140" t="e">
        <f t="shared" si="45"/>
        <v>#REF!</v>
      </c>
      <c r="CA34" s="180" t="e">
        <f t="shared" si="46"/>
        <v>#REF!</v>
      </c>
      <c r="CB34" s="183"/>
      <c r="CD34" s="149" t="s">
        <v>16</v>
      </c>
      <c r="CE34" s="301" t="s">
        <v>339</v>
      </c>
      <c r="CF34" s="298" t="s">
        <v>363</v>
      </c>
      <c r="CG34" s="299" t="s">
        <v>350</v>
      </c>
      <c r="CH34" s="303">
        <v>41150.879999999997</v>
      </c>
      <c r="CI34" s="300">
        <v>8230.1759999999995</v>
      </c>
      <c r="CJ34" s="318">
        <v>49381.055999999997</v>
      </c>
      <c r="CK34" s="323">
        <f>+(CJ34-$CJ$10)*($CJ$8-$CJ$9)</f>
        <v>6657.1583999999993</v>
      </c>
      <c r="CL34" s="319">
        <f>+(CH34+CI34)*$CL$13</f>
        <v>7347.9011327999988</v>
      </c>
      <c r="CM34" s="319">
        <f>SUM(CJ34:CL34)*$CM$8</f>
        <v>0</v>
      </c>
      <c r="CN34" s="324">
        <f t="shared" si="55"/>
        <v>63386.115532799995</v>
      </c>
    </row>
    <row r="35" spans="1:92" ht="12.75" customHeight="1">
      <c r="A35" s="144"/>
      <c r="B35" s="149" t="s">
        <v>16</v>
      </c>
      <c r="C35" s="151" t="s">
        <v>91</v>
      </c>
      <c r="D35" s="122">
        <v>32731.07</v>
      </c>
      <c r="E35" s="122">
        <f t="shared" si="4"/>
        <v>6469</v>
      </c>
      <c r="F35" s="129">
        <f t="shared" si="57"/>
        <v>39200.07</v>
      </c>
      <c r="G35" s="122">
        <f t="shared" si="6"/>
        <v>4578.1596600000003</v>
      </c>
      <c r="H35" s="122">
        <f t="shared" si="7"/>
        <v>5801.6103599999997</v>
      </c>
      <c r="I35" s="130">
        <f t="shared" si="8"/>
        <v>49579.840019999996</v>
      </c>
      <c r="J35" s="144"/>
      <c r="K35" s="140">
        <v>33222</v>
      </c>
      <c r="L35" s="122">
        <f t="shared" si="9"/>
        <v>6644.4000000000005</v>
      </c>
      <c r="M35" s="129">
        <f t="shared" si="58"/>
        <v>39866.400000000001</v>
      </c>
      <c r="N35" s="122">
        <f t="shared" si="11"/>
        <v>4645.2732000000005</v>
      </c>
      <c r="O35" s="122">
        <f t="shared" si="12"/>
        <v>5900.2272000000003</v>
      </c>
      <c r="P35" s="130">
        <f t="shared" si="13"/>
        <v>50411.900400000006</v>
      </c>
      <c r="Q35" s="144"/>
      <c r="R35" s="140">
        <f t="shared" si="14"/>
        <v>832.0603800000099</v>
      </c>
      <c r="S35" s="180">
        <f t="shared" si="15"/>
        <v>1.6782232045613001E-2</v>
      </c>
      <c r="T35" s="183"/>
      <c r="U35" s="144"/>
      <c r="V35" s="140">
        <v>33587</v>
      </c>
      <c r="W35" s="122">
        <f t="shared" si="16"/>
        <v>6717.4000000000005</v>
      </c>
      <c r="X35" s="122">
        <v>0</v>
      </c>
      <c r="Y35" s="129">
        <f t="shared" si="17"/>
        <v>40304.400000000001</v>
      </c>
      <c r="Z35" s="122">
        <f t="shared" si="18"/>
        <v>4705.717200000001</v>
      </c>
      <c r="AA35" s="122">
        <f t="shared" si="19"/>
        <v>5965.0511999999999</v>
      </c>
      <c r="AB35" s="130">
        <f t="shared" si="20"/>
        <v>50975.168400000002</v>
      </c>
      <c r="AC35" s="144"/>
      <c r="AD35" s="140">
        <f t="shared" si="59"/>
        <v>563.26799999999639</v>
      </c>
      <c r="AE35" s="180">
        <f t="shared" si="60"/>
        <v>1.1173314148656778E-2</v>
      </c>
      <c r="AF35" s="183"/>
      <c r="AG35" s="144"/>
      <c r="AH35" s="140">
        <v>33779</v>
      </c>
      <c r="AI35" s="122">
        <f t="shared" si="23"/>
        <v>6755.8</v>
      </c>
      <c r="AJ35" s="122">
        <v>0</v>
      </c>
      <c r="AK35" s="129">
        <f t="shared" si="24"/>
        <v>40534.800000000003</v>
      </c>
      <c r="AL35" s="122">
        <f t="shared" si="25"/>
        <v>4737.5124000000005</v>
      </c>
      <c r="AM35" s="122">
        <f t="shared" si="26"/>
        <v>5999.1504000000004</v>
      </c>
      <c r="AN35" s="130">
        <f t="shared" si="27"/>
        <v>51271.462800000001</v>
      </c>
      <c r="AO35" s="144"/>
      <c r="AP35" s="140">
        <f t="shared" si="61"/>
        <v>296.29439999999886</v>
      </c>
      <c r="AQ35" s="180">
        <f t="shared" si="62"/>
        <v>5.8125242014894227E-3</v>
      </c>
      <c r="AR35" s="183"/>
      <c r="AS35" s="144"/>
      <c r="AT35" s="140" t="e">
        <f>#REF!</f>
        <v>#REF!</v>
      </c>
      <c r="AU35" s="122" t="e">
        <f t="shared" si="47"/>
        <v>#REF!</v>
      </c>
      <c r="AV35" s="122">
        <v>0</v>
      </c>
      <c r="AW35" s="129" t="e">
        <f t="shared" si="30"/>
        <v>#REF!</v>
      </c>
      <c r="AX35" s="122" t="e">
        <f t="shared" si="48"/>
        <v>#REF!</v>
      </c>
      <c r="AY35" s="122" t="e">
        <f t="shared" si="32"/>
        <v>#REF!</v>
      </c>
      <c r="AZ35" s="130" t="e">
        <f t="shared" si="33"/>
        <v>#REF!</v>
      </c>
      <c r="BA35" s="207"/>
      <c r="BB35" s="140" t="e">
        <f t="shared" si="34"/>
        <v>#REF!</v>
      </c>
      <c r="BC35" s="180" t="e">
        <f t="shared" si="35"/>
        <v>#REF!</v>
      </c>
      <c r="BD35" s="183"/>
      <c r="BE35" s="207" t="e">
        <f t="shared" si="49"/>
        <v>#REF!</v>
      </c>
      <c r="BF35" s="278" t="e">
        <f t="shared" si="50"/>
        <v>#REF!</v>
      </c>
      <c r="BG35" s="122" t="e">
        <f t="shared" si="51"/>
        <v>#REF!</v>
      </c>
      <c r="BH35" s="122">
        <v>0</v>
      </c>
      <c r="BI35" s="129" t="e">
        <f t="shared" si="36"/>
        <v>#REF!</v>
      </c>
      <c r="BJ35" s="122" t="e">
        <f t="shared" si="52"/>
        <v>#REF!</v>
      </c>
      <c r="BK35" s="122" t="e">
        <f t="shared" si="37"/>
        <v>#REF!</v>
      </c>
      <c r="BL35" s="130" t="e">
        <f t="shared" si="38"/>
        <v>#REF!</v>
      </c>
      <c r="BM35" s="207"/>
      <c r="BN35" s="140" t="e">
        <f t="shared" si="39"/>
        <v>#REF!</v>
      </c>
      <c r="BO35" s="180" t="e">
        <f t="shared" si="40"/>
        <v>#REF!</v>
      </c>
      <c r="BP35" s="183"/>
      <c r="BR35" s="286" t="e">
        <f>#REF!</f>
        <v>#REF!</v>
      </c>
      <c r="BS35" s="122" t="e">
        <f t="shared" si="53"/>
        <v>#REF!</v>
      </c>
      <c r="BT35" s="122">
        <v>0</v>
      </c>
      <c r="BU35" s="129" t="e">
        <f t="shared" si="41"/>
        <v>#REF!</v>
      </c>
      <c r="BV35" s="122" t="e">
        <f t="shared" si="54"/>
        <v>#REF!</v>
      </c>
      <c r="BW35" s="122" t="e">
        <f t="shared" si="42"/>
        <v>#REF!</v>
      </c>
      <c r="BX35" s="130" t="e">
        <f t="shared" si="43"/>
        <v>#REF!</v>
      </c>
      <c r="BY35" s="291" t="e">
        <f t="shared" si="56"/>
        <v>#REF!</v>
      </c>
      <c r="BZ35" s="140" t="e">
        <f t="shared" si="45"/>
        <v>#REF!</v>
      </c>
      <c r="CA35" s="180" t="e">
        <f t="shared" si="46"/>
        <v>#REF!</v>
      </c>
      <c r="CB35" s="183"/>
      <c r="CD35" s="149" t="s">
        <v>16</v>
      </c>
      <c r="CE35" s="301" t="s">
        <v>348</v>
      </c>
      <c r="CF35" s="298" t="s">
        <v>364</v>
      </c>
      <c r="CG35" s="299" t="s">
        <v>358</v>
      </c>
      <c r="CH35" s="303">
        <v>42604.38</v>
      </c>
      <c r="CI35" s="300">
        <v>8335.44</v>
      </c>
      <c r="CJ35" s="318">
        <v>50939.82</v>
      </c>
      <c r="CK35" s="323">
        <f>+(CJ35-$CJ$10)*($CJ$8-$CJ$9)</f>
        <v>6890.973</v>
      </c>
      <c r="CL35" s="319">
        <f>+(CH35+CI35)*$CL$13</f>
        <v>7579.8452159999997</v>
      </c>
      <c r="CM35" s="319">
        <f>SUM(CJ35:CL35)*$CM$8</f>
        <v>0</v>
      </c>
      <c r="CN35" s="324">
        <f t="shared" si="55"/>
        <v>65410.638215999999</v>
      </c>
    </row>
    <row r="36" spans="1:92" ht="12.75" customHeight="1" thickBot="1">
      <c r="A36" s="144"/>
      <c r="B36" s="198" t="s">
        <v>16</v>
      </c>
      <c r="C36" s="199" t="s">
        <v>93</v>
      </c>
      <c r="D36" s="126">
        <v>35577.25</v>
      </c>
      <c r="E36" s="126">
        <f t="shared" si="4"/>
        <v>6469</v>
      </c>
      <c r="F36" s="127">
        <f t="shared" si="57"/>
        <v>42046.25</v>
      </c>
      <c r="G36" s="126">
        <f t="shared" si="6"/>
        <v>4970.9325000000008</v>
      </c>
      <c r="H36" s="126">
        <f t="shared" si="7"/>
        <v>6222.8449999999993</v>
      </c>
      <c r="I36" s="128">
        <f t="shared" si="8"/>
        <v>53240.027500000004</v>
      </c>
      <c r="J36" s="144"/>
      <c r="K36" s="139">
        <v>36644</v>
      </c>
      <c r="L36" s="126">
        <f t="shared" si="9"/>
        <v>6663</v>
      </c>
      <c r="M36" s="127">
        <f t="shared" si="58"/>
        <v>43307</v>
      </c>
      <c r="N36" s="126">
        <f t="shared" si="11"/>
        <v>5120.076</v>
      </c>
      <c r="O36" s="126">
        <f t="shared" si="12"/>
        <v>6409.4359999999997</v>
      </c>
      <c r="P36" s="128">
        <f t="shared" si="13"/>
        <v>54836.512000000002</v>
      </c>
      <c r="Q36" s="144"/>
      <c r="R36" s="139">
        <f t="shared" si="14"/>
        <v>1596.4844999999987</v>
      </c>
      <c r="S36" s="179">
        <f t="shared" si="15"/>
        <v>2.9986545367580785E-2</v>
      </c>
      <c r="T36" s="182">
        <f>SUM(R32:R36)/SUM(I32:I36)</f>
        <v>2.5842975139654858E-2</v>
      </c>
      <c r="U36" s="144"/>
      <c r="V36" s="139">
        <v>37267</v>
      </c>
      <c r="W36" s="126">
        <f t="shared" si="16"/>
        <v>6777</v>
      </c>
      <c r="X36" s="126">
        <v>410</v>
      </c>
      <c r="Y36" s="127">
        <f t="shared" si="17"/>
        <v>44454</v>
      </c>
      <c r="Z36" s="126">
        <f t="shared" si="18"/>
        <v>5278.3620000000001</v>
      </c>
      <c r="AA36" s="126">
        <f t="shared" si="19"/>
        <v>6518.5119999999997</v>
      </c>
      <c r="AB36" s="128">
        <f t="shared" si="20"/>
        <v>56250.874000000003</v>
      </c>
      <c r="AC36" s="144"/>
      <c r="AD36" s="139">
        <f t="shared" si="59"/>
        <v>1414.362000000001</v>
      </c>
      <c r="AE36" s="179">
        <f t="shared" si="60"/>
        <v>2.5792340694462859E-2</v>
      </c>
      <c r="AF36" s="182">
        <f>SUM(AD32:AD36)/SUM(P32:P36)</f>
        <v>4.0420452375973165E-2</v>
      </c>
      <c r="AG36" s="144"/>
      <c r="AH36" s="139">
        <v>37890</v>
      </c>
      <c r="AI36" s="126">
        <f t="shared" si="23"/>
        <v>6890</v>
      </c>
      <c r="AJ36" s="126">
        <v>0</v>
      </c>
      <c r="AK36" s="127">
        <f t="shared" si="24"/>
        <v>44780</v>
      </c>
      <c r="AL36" s="126">
        <f t="shared" si="25"/>
        <v>5323.35</v>
      </c>
      <c r="AM36" s="126">
        <f t="shared" si="26"/>
        <v>6627.44</v>
      </c>
      <c r="AN36" s="128">
        <f t="shared" si="27"/>
        <v>56730.79</v>
      </c>
      <c r="AO36" s="144"/>
      <c r="AP36" s="139">
        <f t="shared" si="61"/>
        <v>479.91599999999744</v>
      </c>
      <c r="AQ36" s="179">
        <f t="shared" si="62"/>
        <v>8.5317074362257442E-3</v>
      </c>
      <c r="AR36" s="182">
        <f>SUM(AP32:AP36)/SUM(AB32:AB36)</f>
        <v>3.0363827628812831E-2</v>
      </c>
      <c r="AS36" s="144"/>
      <c r="AT36" s="139" t="e">
        <f>#REF!</f>
        <v>#REF!</v>
      </c>
      <c r="AU36" s="126" t="e">
        <f t="shared" si="47"/>
        <v>#REF!</v>
      </c>
      <c r="AV36" s="126">
        <v>0</v>
      </c>
      <c r="AW36" s="127" t="e">
        <f t="shared" si="30"/>
        <v>#REF!</v>
      </c>
      <c r="AX36" s="126" t="e">
        <f t="shared" si="48"/>
        <v>#REF!</v>
      </c>
      <c r="AY36" s="126" t="e">
        <f t="shared" si="32"/>
        <v>#REF!</v>
      </c>
      <c r="AZ36" s="128" t="e">
        <f t="shared" si="33"/>
        <v>#REF!</v>
      </c>
      <c r="BA36" s="207" t="e">
        <f>AZ36*1.3</f>
        <v>#REF!</v>
      </c>
      <c r="BB36" s="139" t="e">
        <f t="shared" si="34"/>
        <v>#REF!</v>
      </c>
      <c r="BC36" s="179" t="e">
        <f t="shared" si="35"/>
        <v>#REF!</v>
      </c>
      <c r="BD36" s="182" t="e">
        <f>SUM(BB32:BB36)/SUM(AN32:AN36)</f>
        <v>#REF!</v>
      </c>
      <c r="BE36" s="207" t="e">
        <f t="shared" si="49"/>
        <v>#REF!</v>
      </c>
      <c r="BF36" s="279" t="e">
        <f t="shared" si="50"/>
        <v>#REF!</v>
      </c>
      <c r="BG36" s="126" t="e">
        <f t="shared" si="51"/>
        <v>#REF!</v>
      </c>
      <c r="BH36" s="126">
        <v>0</v>
      </c>
      <c r="BI36" s="127" t="e">
        <f t="shared" si="36"/>
        <v>#REF!</v>
      </c>
      <c r="BJ36" s="126" t="e">
        <f t="shared" si="52"/>
        <v>#REF!</v>
      </c>
      <c r="BK36" s="126" t="e">
        <f t="shared" si="37"/>
        <v>#REF!</v>
      </c>
      <c r="BL36" s="128" t="e">
        <f t="shared" si="38"/>
        <v>#REF!</v>
      </c>
      <c r="BM36" s="207"/>
      <c r="BN36" s="139" t="e">
        <f t="shared" si="39"/>
        <v>#REF!</v>
      </c>
      <c r="BO36" s="179" t="e">
        <f t="shared" si="40"/>
        <v>#REF!</v>
      </c>
      <c r="BP36" s="182" t="e">
        <f>SUM(BN32:BN36)/SUM(AZ32:AZ36)</f>
        <v>#REF!</v>
      </c>
      <c r="BR36" s="287" t="e">
        <f>#REF!</f>
        <v>#REF!</v>
      </c>
      <c r="BS36" s="126" t="e">
        <f t="shared" si="53"/>
        <v>#REF!</v>
      </c>
      <c r="BT36" s="126">
        <v>0</v>
      </c>
      <c r="BU36" s="127" t="e">
        <f t="shared" si="41"/>
        <v>#REF!</v>
      </c>
      <c r="BV36" s="126" t="e">
        <f t="shared" si="54"/>
        <v>#REF!</v>
      </c>
      <c r="BW36" s="126" t="e">
        <f t="shared" si="42"/>
        <v>#REF!</v>
      </c>
      <c r="BX36" s="128" t="e">
        <f t="shared" si="43"/>
        <v>#REF!</v>
      </c>
      <c r="BY36" s="291" t="e">
        <f t="shared" si="56"/>
        <v>#REF!</v>
      </c>
      <c r="BZ36" s="139" t="e">
        <f t="shared" si="45"/>
        <v>#REF!</v>
      </c>
      <c r="CA36" s="179" t="e">
        <f t="shared" si="46"/>
        <v>#REF!</v>
      </c>
      <c r="CB36" s="182" t="e">
        <f>SUM(BZ32:BZ36)/SUM(BL32:BL36)</f>
        <v>#REF!</v>
      </c>
      <c r="CD36" s="198" t="s">
        <v>16</v>
      </c>
      <c r="CE36" s="308" t="s">
        <v>342</v>
      </c>
      <c r="CF36" s="312" t="s">
        <v>365</v>
      </c>
      <c r="CG36" s="309" t="s">
        <v>360</v>
      </c>
      <c r="CH36" s="311">
        <v>45861.24</v>
      </c>
      <c r="CI36" s="311">
        <v>8335.44</v>
      </c>
      <c r="CJ36" s="317">
        <v>54196.68</v>
      </c>
      <c r="CK36" s="323">
        <f>+(CJ36-$CJ$10)*($CJ$8-$CJ$9)</f>
        <v>7379.5019999999995</v>
      </c>
      <c r="CL36" s="319">
        <f>+(CH36+CI36)*$CL$13</f>
        <v>8064.4659839999995</v>
      </c>
      <c r="CM36" s="319">
        <f>SUM(CJ36:CL36)*$CM$8</f>
        <v>0</v>
      </c>
      <c r="CN36" s="324">
        <f t="shared" si="55"/>
        <v>69640.647983999996</v>
      </c>
    </row>
    <row r="37" spans="1:92" ht="12.75" customHeight="1">
      <c r="A37" s="144"/>
      <c r="B37" s="196" t="s">
        <v>17</v>
      </c>
      <c r="C37" s="197" t="s">
        <v>90</v>
      </c>
      <c r="D37" s="200">
        <v>31696.83</v>
      </c>
      <c r="E37" s="200">
        <f t="shared" si="4"/>
        <v>6339.3660000000009</v>
      </c>
      <c r="F37" s="124">
        <f t="shared" si="57"/>
        <v>38036.196000000004</v>
      </c>
      <c r="G37" s="200">
        <f t="shared" si="6"/>
        <v>4417.5450480000009</v>
      </c>
      <c r="H37" s="200">
        <f t="shared" si="7"/>
        <v>5629.357008</v>
      </c>
      <c r="I37" s="125">
        <f t="shared" si="8"/>
        <v>48083.098056000003</v>
      </c>
      <c r="J37" s="144"/>
      <c r="K37" s="201">
        <v>33222</v>
      </c>
      <c r="L37" s="200">
        <f t="shared" si="9"/>
        <v>6644.4000000000005</v>
      </c>
      <c r="M37" s="124">
        <f t="shared" si="58"/>
        <v>39866.400000000001</v>
      </c>
      <c r="N37" s="200">
        <f t="shared" si="11"/>
        <v>4645.2732000000005</v>
      </c>
      <c r="O37" s="200">
        <f t="shared" si="12"/>
        <v>5900.2272000000003</v>
      </c>
      <c r="P37" s="125">
        <f t="shared" si="13"/>
        <v>50411.900400000006</v>
      </c>
      <c r="Q37" s="144"/>
      <c r="R37" s="201">
        <f t="shared" si="14"/>
        <v>2328.8023440000034</v>
      </c>
      <c r="S37" s="178">
        <f t="shared" si="15"/>
        <v>4.8432868058704594E-2</v>
      </c>
      <c r="T37" s="181"/>
      <c r="U37" s="144"/>
      <c r="V37" s="201">
        <v>37570</v>
      </c>
      <c r="W37" s="200">
        <f t="shared" si="16"/>
        <v>6777</v>
      </c>
      <c r="X37" s="200">
        <v>0</v>
      </c>
      <c r="Y37" s="124">
        <f t="shared" si="17"/>
        <v>44347</v>
      </c>
      <c r="Z37" s="200">
        <f t="shared" si="18"/>
        <v>5263.5960000000005</v>
      </c>
      <c r="AA37" s="200">
        <f t="shared" si="19"/>
        <v>6563.3559999999998</v>
      </c>
      <c r="AB37" s="125">
        <f t="shared" si="20"/>
        <v>56173.951999999997</v>
      </c>
      <c r="AC37" s="144"/>
      <c r="AD37" s="201">
        <f t="shared" si="59"/>
        <v>5762.0515999999916</v>
      </c>
      <c r="AE37" s="178">
        <f t="shared" si="60"/>
        <v>0.11429943236180778</v>
      </c>
      <c r="AF37" s="181"/>
      <c r="AG37" s="144"/>
      <c r="AH37" s="201">
        <v>38890</v>
      </c>
      <c r="AI37" s="200">
        <f t="shared" si="23"/>
        <v>6890</v>
      </c>
      <c r="AJ37" s="200">
        <v>0</v>
      </c>
      <c r="AK37" s="124">
        <f t="shared" si="24"/>
        <v>45780</v>
      </c>
      <c r="AL37" s="200">
        <f t="shared" si="25"/>
        <v>5461.35</v>
      </c>
      <c r="AM37" s="200">
        <f t="shared" si="26"/>
        <v>6775.44</v>
      </c>
      <c r="AN37" s="125">
        <f t="shared" si="27"/>
        <v>58016.79</v>
      </c>
      <c r="AO37" s="144"/>
      <c r="AP37" s="201">
        <f t="shared" si="61"/>
        <v>1842.8380000000034</v>
      </c>
      <c r="AQ37" s="178">
        <f t="shared" si="62"/>
        <v>3.2805916877630459E-2</v>
      </c>
      <c r="AR37" s="181"/>
      <c r="AS37" s="144"/>
      <c r="AT37" s="201">
        <v>40057</v>
      </c>
      <c r="AU37" s="200">
        <f t="shared" si="47"/>
        <v>7097</v>
      </c>
      <c r="AV37" s="200">
        <v>0</v>
      </c>
      <c r="AW37" s="124">
        <f t="shared" si="30"/>
        <v>47154</v>
      </c>
      <c r="AX37" s="200">
        <f t="shared" si="48"/>
        <v>5287.3320000000003</v>
      </c>
      <c r="AY37" s="200">
        <f t="shared" si="32"/>
        <v>6992.9381999999996</v>
      </c>
      <c r="AZ37" s="125">
        <f t="shared" si="33"/>
        <v>59434.270199999999</v>
      </c>
      <c r="BA37" s="144"/>
      <c r="BB37" s="201">
        <f t="shared" si="34"/>
        <v>1417.4801999999981</v>
      </c>
      <c r="BC37" s="178">
        <f t="shared" si="35"/>
        <v>2.4432241080556132E-2</v>
      </c>
      <c r="BD37" s="181"/>
      <c r="BE37" s="207">
        <f t="shared" si="49"/>
        <v>1602.2799999999988</v>
      </c>
      <c r="BF37" s="280">
        <f t="shared" si="50"/>
        <v>41659.279999999999</v>
      </c>
      <c r="BG37" s="200">
        <f t="shared" si="51"/>
        <v>7377</v>
      </c>
      <c r="BH37" s="200">
        <v>0</v>
      </c>
      <c r="BI37" s="124">
        <f t="shared" si="36"/>
        <v>49036.28</v>
      </c>
      <c r="BJ37" s="200">
        <f t="shared" si="52"/>
        <v>6010.4101400000009</v>
      </c>
      <c r="BK37" s="200">
        <f t="shared" si="37"/>
        <v>7517.261723999999</v>
      </c>
      <c r="BL37" s="125">
        <f t="shared" si="38"/>
        <v>62563.951863999995</v>
      </c>
      <c r="BM37" s="144"/>
      <c r="BN37" s="201">
        <f t="shared" si="39"/>
        <v>3129.6816639999961</v>
      </c>
      <c r="BO37" s="178">
        <f t="shared" si="40"/>
        <v>5.2657863106056885E-2</v>
      </c>
      <c r="BP37" s="181"/>
      <c r="BR37" s="288">
        <v>43742</v>
      </c>
      <c r="BS37" s="200">
        <f t="shared" si="53"/>
        <v>7745.85</v>
      </c>
      <c r="BT37" s="200">
        <v>0</v>
      </c>
      <c r="BU37" s="124">
        <f t="shared" si="41"/>
        <v>51487.85</v>
      </c>
      <c r="BV37" s="200">
        <f t="shared" si="54"/>
        <v>5849.5232999999998</v>
      </c>
      <c r="BW37" s="200">
        <f t="shared" si="42"/>
        <v>7893.0874049999993</v>
      </c>
      <c r="BX37" s="125">
        <f t="shared" si="43"/>
        <v>65230.460704999998</v>
      </c>
      <c r="BY37" s="291">
        <f t="shared" si="56"/>
        <v>0.26690977978299735</v>
      </c>
      <c r="BZ37" s="201">
        <f t="shared" si="45"/>
        <v>2666.5088410000026</v>
      </c>
      <c r="CA37" s="178">
        <f t="shared" si="46"/>
        <v>4.2620530857711725E-2</v>
      </c>
      <c r="CB37" s="181"/>
      <c r="CD37" s="196" t="s">
        <v>17</v>
      </c>
      <c r="CE37" s="304" t="s">
        <v>336</v>
      </c>
      <c r="CF37" s="305" t="s">
        <v>366</v>
      </c>
      <c r="CG37" s="305" t="s">
        <v>346</v>
      </c>
      <c r="CH37" s="307">
        <v>47070.96</v>
      </c>
      <c r="CI37" s="307">
        <v>8335.44</v>
      </c>
      <c r="CJ37" s="316">
        <v>55406.400000000001</v>
      </c>
      <c r="CK37" s="320">
        <f>+(CJ37-$CJ$10)*($CJ$8-$CJ$9)</f>
        <v>7560.96</v>
      </c>
      <c r="CL37" s="321">
        <f>+(CH37+CI37)*$CL$13</f>
        <v>8244.4723199999989</v>
      </c>
      <c r="CM37" s="321">
        <f>SUM(CJ37:CL37)*$CM$8</f>
        <v>0</v>
      </c>
      <c r="CN37" s="322">
        <f t="shared" si="55"/>
        <v>71211.832320000001</v>
      </c>
    </row>
    <row r="38" spans="1:92" ht="13.5" customHeight="1">
      <c r="A38" s="144"/>
      <c r="B38" s="149" t="s">
        <v>17</v>
      </c>
      <c r="C38" s="151" t="s">
        <v>92</v>
      </c>
      <c r="D38" s="202">
        <v>33895.599999999999</v>
      </c>
      <c r="E38" s="202">
        <f t="shared" si="4"/>
        <v>6469</v>
      </c>
      <c r="F38" s="129">
        <f t="shared" si="57"/>
        <v>40364.6</v>
      </c>
      <c r="G38" s="202">
        <f t="shared" si="6"/>
        <v>4738.8648000000003</v>
      </c>
      <c r="H38" s="202">
        <f t="shared" si="7"/>
        <v>5973.9607999999998</v>
      </c>
      <c r="I38" s="130">
        <f t="shared" si="8"/>
        <v>51077.425600000002</v>
      </c>
      <c r="J38" s="144"/>
      <c r="K38" s="203">
        <v>34403</v>
      </c>
      <c r="L38" s="202">
        <f t="shared" si="9"/>
        <v>6663</v>
      </c>
      <c r="M38" s="129">
        <f t="shared" si="58"/>
        <v>41066</v>
      </c>
      <c r="N38" s="202">
        <f t="shared" si="11"/>
        <v>4810.8180000000002</v>
      </c>
      <c r="O38" s="202">
        <f t="shared" si="12"/>
        <v>6077.768</v>
      </c>
      <c r="P38" s="130">
        <f t="shared" si="13"/>
        <v>51954.585999999996</v>
      </c>
      <c r="Q38" s="144"/>
      <c r="R38" s="203">
        <f t="shared" si="14"/>
        <v>877.16039999999339</v>
      </c>
      <c r="S38" s="180">
        <f t="shared" si="15"/>
        <v>1.7173152125348961E-2</v>
      </c>
      <c r="T38" s="183"/>
      <c r="U38" s="144"/>
      <c r="V38" s="203">
        <v>37570</v>
      </c>
      <c r="W38" s="202">
        <f t="shared" si="16"/>
        <v>6777</v>
      </c>
      <c r="X38" s="202">
        <v>0</v>
      </c>
      <c r="Y38" s="129">
        <f t="shared" si="17"/>
        <v>44347</v>
      </c>
      <c r="Z38" s="202">
        <f t="shared" si="18"/>
        <v>5263.5960000000005</v>
      </c>
      <c r="AA38" s="202">
        <f t="shared" si="19"/>
        <v>6563.3559999999998</v>
      </c>
      <c r="AB38" s="130">
        <f t="shared" si="20"/>
        <v>56173.951999999997</v>
      </c>
      <c r="AC38" s="144"/>
      <c r="AD38" s="203">
        <f t="shared" si="59"/>
        <v>4219.3660000000018</v>
      </c>
      <c r="AE38" s="180">
        <f t="shared" si="60"/>
        <v>8.1212580541013296E-2</v>
      </c>
      <c r="AF38" s="183"/>
      <c r="AG38" s="144"/>
      <c r="AH38" s="203">
        <v>40894</v>
      </c>
      <c r="AI38" s="202">
        <f t="shared" si="23"/>
        <v>6890</v>
      </c>
      <c r="AJ38" s="202">
        <v>0</v>
      </c>
      <c r="AK38" s="129">
        <f t="shared" si="24"/>
        <v>47784</v>
      </c>
      <c r="AL38" s="202">
        <f t="shared" si="25"/>
        <v>5737.902</v>
      </c>
      <c r="AM38" s="202">
        <f t="shared" si="26"/>
        <v>7072.0319999999992</v>
      </c>
      <c r="AN38" s="130">
        <f t="shared" si="27"/>
        <v>60593.934000000001</v>
      </c>
      <c r="AO38" s="144"/>
      <c r="AP38" s="203">
        <f t="shared" si="61"/>
        <v>4419.9820000000036</v>
      </c>
      <c r="AQ38" s="180">
        <f t="shared" si="62"/>
        <v>7.8683835525761192E-2</v>
      </c>
      <c r="AR38" s="183"/>
      <c r="AS38" s="144"/>
      <c r="AT38" s="203">
        <v>42121</v>
      </c>
      <c r="AU38" s="202">
        <f t="shared" si="47"/>
        <v>7097</v>
      </c>
      <c r="AV38" s="202">
        <v>0</v>
      </c>
      <c r="AW38" s="129">
        <f t="shared" si="30"/>
        <v>49218</v>
      </c>
      <c r="AX38" s="202">
        <f t="shared" si="48"/>
        <v>5572.1640000000007</v>
      </c>
      <c r="AY38" s="202">
        <f t="shared" si="32"/>
        <v>7299.0293999999994</v>
      </c>
      <c r="AZ38" s="130">
        <f t="shared" si="33"/>
        <v>62089.193400000004</v>
      </c>
      <c r="BA38" s="144"/>
      <c r="BB38" s="203">
        <f t="shared" si="34"/>
        <v>1495.2594000000026</v>
      </c>
      <c r="BC38" s="180">
        <f t="shared" si="35"/>
        <v>2.4676717639755864E-2</v>
      </c>
      <c r="BD38" s="183"/>
      <c r="BE38" s="207">
        <f t="shared" si="49"/>
        <v>1684.8400000000038</v>
      </c>
      <c r="BF38" s="281">
        <f t="shared" si="50"/>
        <v>43805.840000000004</v>
      </c>
      <c r="BG38" s="202">
        <f t="shared" si="51"/>
        <v>7377</v>
      </c>
      <c r="BH38" s="202">
        <v>0</v>
      </c>
      <c r="BI38" s="129">
        <f t="shared" si="36"/>
        <v>51182.840000000004</v>
      </c>
      <c r="BJ38" s="202">
        <f t="shared" si="52"/>
        <v>6333.4674200000018</v>
      </c>
      <c r="BK38" s="202">
        <f t="shared" si="37"/>
        <v>7846.3293720000001</v>
      </c>
      <c r="BL38" s="130">
        <f t="shared" si="38"/>
        <v>65362.636792000005</v>
      </c>
      <c r="BM38" s="144"/>
      <c r="BN38" s="203">
        <f t="shared" si="39"/>
        <v>3273.443392000001</v>
      </c>
      <c r="BO38" s="180">
        <f t="shared" si="40"/>
        <v>5.2721628559600532E-2</v>
      </c>
      <c r="BP38" s="183"/>
      <c r="BR38" s="289">
        <v>45996</v>
      </c>
      <c r="BS38" s="202">
        <f t="shared" si="53"/>
        <v>7745.85</v>
      </c>
      <c r="BT38" s="202">
        <v>0</v>
      </c>
      <c r="BU38" s="129">
        <f t="shared" si="41"/>
        <v>53741.85</v>
      </c>
      <c r="BV38" s="202">
        <f t="shared" si="54"/>
        <v>6160.5753000000004</v>
      </c>
      <c r="BW38" s="202">
        <f t="shared" si="42"/>
        <v>8238.6256049999993</v>
      </c>
      <c r="BX38" s="130">
        <f t="shared" si="43"/>
        <v>68141.050904999996</v>
      </c>
      <c r="BY38" s="291">
        <f t="shared" si="56"/>
        <v>0.26793273594042621</v>
      </c>
      <c r="BZ38" s="203">
        <f t="shared" si="45"/>
        <v>2778.4141129999916</v>
      </c>
      <c r="CA38" s="180">
        <f t="shared" si="46"/>
        <v>4.2507680983580716E-2</v>
      </c>
      <c r="CB38" s="183"/>
      <c r="CD38" s="149" t="s">
        <v>17</v>
      </c>
      <c r="CE38" s="297" t="s">
        <v>354</v>
      </c>
      <c r="CF38" s="298" t="s">
        <v>367</v>
      </c>
      <c r="CG38" s="299" t="s">
        <v>341</v>
      </c>
      <c r="CH38" s="300">
        <v>49496.520000000004</v>
      </c>
      <c r="CI38" s="300">
        <v>8335.44</v>
      </c>
      <c r="CJ38" s="318">
        <v>57831.960000000006</v>
      </c>
      <c r="CK38" s="323">
        <f>+(CJ38-$CJ$10)*($CJ$8-$CJ$9)</f>
        <v>7924.7940000000008</v>
      </c>
      <c r="CL38" s="319">
        <f>+(CH38+CI38)*$CL$13</f>
        <v>8605.3956479999997</v>
      </c>
      <c r="CM38" s="319">
        <f>SUM(CJ38:CL38)*$CM$8</f>
        <v>0</v>
      </c>
      <c r="CN38" s="324">
        <f t="shared" si="55"/>
        <v>74362.149648000006</v>
      </c>
    </row>
    <row r="39" spans="1:92" ht="12.75" customHeight="1">
      <c r="A39" s="144"/>
      <c r="B39" s="149" t="s">
        <v>17</v>
      </c>
      <c r="C39" s="151" t="s">
        <v>94</v>
      </c>
      <c r="D39" s="202">
        <v>36612.5</v>
      </c>
      <c r="E39" s="202">
        <f t="shared" si="4"/>
        <v>6469</v>
      </c>
      <c r="F39" s="129">
        <f t="shared" si="57"/>
        <v>43081.5</v>
      </c>
      <c r="G39" s="202">
        <f t="shared" si="6"/>
        <v>5113.7970000000005</v>
      </c>
      <c r="H39" s="202">
        <f t="shared" si="7"/>
        <v>6376.0619999999999</v>
      </c>
      <c r="I39" s="130">
        <f t="shared" si="8"/>
        <v>54571.358999999997</v>
      </c>
      <c r="J39" s="144"/>
      <c r="K39" s="203">
        <v>37161</v>
      </c>
      <c r="L39" s="202">
        <f t="shared" si="9"/>
        <v>6663</v>
      </c>
      <c r="M39" s="129">
        <f t="shared" si="58"/>
        <v>43824</v>
      </c>
      <c r="N39" s="202">
        <f t="shared" si="11"/>
        <v>5191.4220000000005</v>
      </c>
      <c r="O39" s="202">
        <f t="shared" si="12"/>
        <v>6485.9519999999993</v>
      </c>
      <c r="P39" s="130">
        <f t="shared" si="13"/>
        <v>55501.373999999996</v>
      </c>
      <c r="Q39" s="144"/>
      <c r="R39" s="203">
        <f t="shared" si="14"/>
        <v>930.01499999999942</v>
      </c>
      <c r="S39" s="180">
        <f t="shared" si="15"/>
        <v>1.7042181412414512E-2</v>
      </c>
      <c r="T39" s="183"/>
      <c r="U39" s="144"/>
      <c r="V39" s="203">
        <v>38765</v>
      </c>
      <c r="W39" s="202">
        <f t="shared" si="16"/>
        <v>6777</v>
      </c>
      <c r="X39" s="202">
        <v>0</v>
      </c>
      <c r="Y39" s="129">
        <f t="shared" si="17"/>
        <v>45542</v>
      </c>
      <c r="Z39" s="202">
        <f t="shared" si="18"/>
        <v>5428.5060000000003</v>
      </c>
      <c r="AA39" s="202">
        <f t="shared" si="19"/>
        <v>6740.2159999999994</v>
      </c>
      <c r="AB39" s="130">
        <f t="shared" si="20"/>
        <v>57710.722000000002</v>
      </c>
      <c r="AC39" s="144"/>
      <c r="AD39" s="203">
        <f t="shared" si="59"/>
        <v>2209.3480000000054</v>
      </c>
      <c r="AE39" s="180">
        <f t="shared" si="60"/>
        <v>3.9807086577712571E-2</v>
      </c>
      <c r="AF39" s="183"/>
      <c r="AG39" s="144"/>
      <c r="AH39" s="203">
        <v>40894</v>
      </c>
      <c r="AI39" s="202">
        <f t="shared" si="23"/>
        <v>6890</v>
      </c>
      <c r="AJ39" s="202">
        <v>0</v>
      </c>
      <c r="AK39" s="129">
        <f t="shared" si="24"/>
        <v>47784</v>
      </c>
      <c r="AL39" s="202">
        <f t="shared" si="25"/>
        <v>5737.902</v>
      </c>
      <c r="AM39" s="202">
        <f t="shared" si="26"/>
        <v>7072.0319999999992</v>
      </c>
      <c r="AN39" s="130">
        <f t="shared" si="27"/>
        <v>60593.934000000001</v>
      </c>
      <c r="AO39" s="144"/>
      <c r="AP39" s="203">
        <f t="shared" si="61"/>
        <v>2883.2119999999995</v>
      </c>
      <c r="AQ39" s="180">
        <f t="shared" si="62"/>
        <v>4.995972845392576E-2</v>
      </c>
      <c r="AR39" s="183"/>
      <c r="AS39" s="144"/>
      <c r="AT39" s="203" t="e">
        <f>#REF!</f>
        <v>#REF!</v>
      </c>
      <c r="AU39" s="202" t="e">
        <f t="shared" si="47"/>
        <v>#REF!</v>
      </c>
      <c r="AV39" s="202">
        <v>0</v>
      </c>
      <c r="AW39" s="129" t="e">
        <f t="shared" si="30"/>
        <v>#REF!</v>
      </c>
      <c r="AX39" s="202" t="e">
        <f t="shared" si="48"/>
        <v>#REF!</v>
      </c>
      <c r="AY39" s="202" t="e">
        <f t="shared" si="32"/>
        <v>#REF!</v>
      </c>
      <c r="AZ39" s="130" t="e">
        <f t="shared" si="33"/>
        <v>#REF!</v>
      </c>
      <c r="BA39" s="144"/>
      <c r="BB39" s="203" t="e">
        <f t="shared" si="34"/>
        <v>#REF!</v>
      </c>
      <c r="BC39" s="180" t="e">
        <f t="shared" si="35"/>
        <v>#REF!</v>
      </c>
      <c r="BD39" s="183"/>
      <c r="BE39" s="207" t="e">
        <f t="shared" si="49"/>
        <v>#REF!</v>
      </c>
      <c r="BF39" s="281" t="e">
        <f t="shared" si="50"/>
        <v>#REF!</v>
      </c>
      <c r="BG39" s="202" t="e">
        <f t="shared" si="51"/>
        <v>#REF!</v>
      </c>
      <c r="BH39" s="202">
        <v>0</v>
      </c>
      <c r="BI39" s="129" t="e">
        <f t="shared" si="36"/>
        <v>#REF!</v>
      </c>
      <c r="BJ39" s="202" t="e">
        <f t="shared" si="52"/>
        <v>#REF!</v>
      </c>
      <c r="BK39" s="202" t="e">
        <f t="shared" si="37"/>
        <v>#REF!</v>
      </c>
      <c r="BL39" s="130" t="e">
        <f t="shared" si="38"/>
        <v>#REF!</v>
      </c>
      <c r="BM39" s="144"/>
      <c r="BN39" s="203" t="e">
        <f t="shared" si="39"/>
        <v>#REF!</v>
      </c>
      <c r="BO39" s="180" t="e">
        <f t="shared" si="40"/>
        <v>#REF!</v>
      </c>
      <c r="BP39" s="183"/>
      <c r="BR39" s="289" t="e">
        <f>#REF!</f>
        <v>#REF!</v>
      </c>
      <c r="BS39" s="202" t="e">
        <f t="shared" si="53"/>
        <v>#REF!</v>
      </c>
      <c r="BT39" s="202">
        <v>0</v>
      </c>
      <c r="BU39" s="129" t="e">
        <f t="shared" si="41"/>
        <v>#REF!</v>
      </c>
      <c r="BV39" s="202" t="e">
        <f t="shared" si="54"/>
        <v>#REF!</v>
      </c>
      <c r="BW39" s="202" t="e">
        <f t="shared" si="42"/>
        <v>#REF!</v>
      </c>
      <c r="BX39" s="130" t="e">
        <f t="shared" si="43"/>
        <v>#REF!</v>
      </c>
      <c r="BY39" s="291" t="e">
        <f t="shared" si="56"/>
        <v>#REF!</v>
      </c>
      <c r="BZ39" s="203" t="e">
        <f t="shared" si="45"/>
        <v>#REF!</v>
      </c>
      <c r="CA39" s="180" t="e">
        <f t="shared" si="46"/>
        <v>#REF!</v>
      </c>
      <c r="CB39" s="183"/>
      <c r="CD39" s="149" t="s">
        <v>17</v>
      </c>
      <c r="CE39" s="301" t="s">
        <v>339</v>
      </c>
      <c r="CF39" s="298" t="s">
        <v>368</v>
      </c>
      <c r="CG39" s="299" t="s">
        <v>350</v>
      </c>
      <c r="CH39" s="303">
        <v>50712.36</v>
      </c>
      <c r="CI39" s="300">
        <v>8335.44</v>
      </c>
      <c r="CJ39" s="318">
        <v>59047.8</v>
      </c>
      <c r="CK39" s="323">
        <f>+(CJ39-$CJ$10)*($CJ$8-$CJ$9)</f>
        <v>8107.17</v>
      </c>
      <c r="CL39" s="319">
        <f>+(CH39+CI39)*$CL$13</f>
        <v>8786.3126400000001</v>
      </c>
      <c r="CM39" s="319">
        <f>SUM(CJ39:CL39)*$CM$8</f>
        <v>0</v>
      </c>
      <c r="CN39" s="324">
        <f t="shared" si="55"/>
        <v>75941.282640000005</v>
      </c>
    </row>
    <row r="40" spans="1:92" ht="12.75" customHeight="1">
      <c r="A40" s="144"/>
      <c r="B40" s="149" t="s">
        <v>17</v>
      </c>
      <c r="C40" s="151" t="s">
        <v>95</v>
      </c>
      <c r="D40" s="202">
        <v>39069.83</v>
      </c>
      <c r="E40" s="202">
        <f t="shared" si="4"/>
        <v>6469</v>
      </c>
      <c r="F40" s="129">
        <f t="shared" si="57"/>
        <v>45538.83</v>
      </c>
      <c r="G40" s="202">
        <f t="shared" si="6"/>
        <v>5452.9085400000004</v>
      </c>
      <c r="H40" s="202">
        <f t="shared" si="7"/>
        <v>6739.7468399999998</v>
      </c>
      <c r="I40" s="130">
        <f t="shared" si="8"/>
        <v>57731.485380000006</v>
      </c>
      <c r="J40" s="144"/>
      <c r="K40" s="203">
        <v>39656</v>
      </c>
      <c r="L40" s="202">
        <f t="shared" si="9"/>
        <v>6663</v>
      </c>
      <c r="M40" s="129">
        <f t="shared" si="58"/>
        <v>46319</v>
      </c>
      <c r="N40" s="202">
        <f t="shared" si="11"/>
        <v>5535.7320000000009</v>
      </c>
      <c r="O40" s="202">
        <f t="shared" si="12"/>
        <v>6855.2119999999995</v>
      </c>
      <c r="P40" s="130">
        <f t="shared" si="13"/>
        <v>58709.944000000003</v>
      </c>
      <c r="Q40" s="144"/>
      <c r="R40" s="203">
        <f t="shared" si="14"/>
        <v>978.45861999999761</v>
      </c>
      <c r="S40" s="180">
        <f t="shared" si="15"/>
        <v>1.6948440068007782E-2</v>
      </c>
      <c r="T40" s="183"/>
      <c r="U40" s="144"/>
      <c r="V40" s="203">
        <v>40092</v>
      </c>
      <c r="W40" s="202">
        <f t="shared" si="16"/>
        <v>6777</v>
      </c>
      <c r="X40" s="202">
        <v>0</v>
      </c>
      <c r="Y40" s="129">
        <f t="shared" si="17"/>
        <v>46869</v>
      </c>
      <c r="Z40" s="202">
        <f t="shared" si="18"/>
        <v>5611.6320000000005</v>
      </c>
      <c r="AA40" s="202">
        <f t="shared" si="19"/>
        <v>6936.6120000000001</v>
      </c>
      <c r="AB40" s="130">
        <f t="shared" si="20"/>
        <v>59417.243999999999</v>
      </c>
      <c r="AC40" s="144"/>
      <c r="AD40" s="203">
        <f t="shared" si="59"/>
        <v>707.29999999999563</v>
      </c>
      <c r="AE40" s="180">
        <f t="shared" si="60"/>
        <v>1.2047362879446719E-2</v>
      </c>
      <c r="AF40" s="183"/>
      <c r="AG40" s="144"/>
      <c r="AH40" s="203">
        <v>41723</v>
      </c>
      <c r="AI40" s="202">
        <f t="shared" si="23"/>
        <v>6890</v>
      </c>
      <c r="AJ40" s="202">
        <v>0</v>
      </c>
      <c r="AK40" s="129">
        <f t="shared" si="24"/>
        <v>48613</v>
      </c>
      <c r="AL40" s="202">
        <f t="shared" si="25"/>
        <v>5852.3040000000001</v>
      </c>
      <c r="AM40" s="202">
        <f t="shared" si="26"/>
        <v>7194.7239999999993</v>
      </c>
      <c r="AN40" s="130">
        <f t="shared" si="27"/>
        <v>61660.028000000006</v>
      </c>
      <c r="AO40" s="144"/>
      <c r="AP40" s="203">
        <f t="shared" si="61"/>
        <v>2242.7840000000069</v>
      </c>
      <c r="AQ40" s="180">
        <f t="shared" si="62"/>
        <v>3.7746348517948877E-2</v>
      </c>
      <c r="AR40" s="183"/>
      <c r="AS40" s="144"/>
      <c r="AT40" s="203" t="e">
        <f>#REF!</f>
        <v>#REF!</v>
      </c>
      <c r="AU40" s="202" t="e">
        <f t="shared" si="47"/>
        <v>#REF!</v>
      </c>
      <c r="AV40" s="202">
        <v>0</v>
      </c>
      <c r="AW40" s="129" t="e">
        <f t="shared" si="30"/>
        <v>#REF!</v>
      </c>
      <c r="AX40" s="202" t="e">
        <f t="shared" si="48"/>
        <v>#REF!</v>
      </c>
      <c r="AY40" s="202" t="e">
        <f t="shared" si="32"/>
        <v>#REF!</v>
      </c>
      <c r="AZ40" s="130" t="e">
        <f t="shared" si="33"/>
        <v>#REF!</v>
      </c>
      <c r="BA40" s="144"/>
      <c r="BB40" s="203" t="e">
        <f t="shared" si="34"/>
        <v>#REF!</v>
      </c>
      <c r="BC40" s="180" t="e">
        <f t="shared" si="35"/>
        <v>#REF!</v>
      </c>
      <c r="BD40" s="183"/>
      <c r="BE40" s="207" t="e">
        <f t="shared" si="49"/>
        <v>#REF!</v>
      </c>
      <c r="BF40" s="281" t="e">
        <f t="shared" si="50"/>
        <v>#REF!</v>
      </c>
      <c r="BG40" s="202" t="e">
        <f t="shared" si="51"/>
        <v>#REF!</v>
      </c>
      <c r="BH40" s="202">
        <v>0</v>
      </c>
      <c r="BI40" s="129" t="e">
        <f t="shared" si="36"/>
        <v>#REF!</v>
      </c>
      <c r="BJ40" s="202" t="e">
        <f t="shared" si="52"/>
        <v>#REF!</v>
      </c>
      <c r="BK40" s="202" t="e">
        <f t="shared" si="37"/>
        <v>#REF!</v>
      </c>
      <c r="BL40" s="130" t="e">
        <f t="shared" si="38"/>
        <v>#REF!</v>
      </c>
      <c r="BM40" s="144"/>
      <c r="BN40" s="203" t="e">
        <f t="shared" si="39"/>
        <v>#REF!</v>
      </c>
      <c r="BO40" s="180" t="e">
        <f t="shared" si="40"/>
        <v>#REF!</v>
      </c>
      <c r="BP40" s="183"/>
      <c r="BR40" s="289" t="e">
        <f>#REF!</f>
        <v>#REF!</v>
      </c>
      <c r="BS40" s="202" t="e">
        <f t="shared" si="53"/>
        <v>#REF!</v>
      </c>
      <c r="BT40" s="202">
        <v>0</v>
      </c>
      <c r="BU40" s="129" t="e">
        <f t="shared" si="41"/>
        <v>#REF!</v>
      </c>
      <c r="BV40" s="202" t="e">
        <f t="shared" si="54"/>
        <v>#REF!</v>
      </c>
      <c r="BW40" s="202" t="e">
        <f t="shared" si="42"/>
        <v>#REF!</v>
      </c>
      <c r="BX40" s="130" t="e">
        <f t="shared" si="43"/>
        <v>#REF!</v>
      </c>
      <c r="BY40" s="291" t="e">
        <f t="shared" si="56"/>
        <v>#REF!</v>
      </c>
      <c r="BZ40" s="203" t="e">
        <f t="shared" si="45"/>
        <v>#REF!</v>
      </c>
      <c r="CA40" s="180" t="e">
        <f t="shared" si="46"/>
        <v>#REF!</v>
      </c>
      <c r="CB40" s="183"/>
      <c r="CD40" s="149" t="s">
        <v>17</v>
      </c>
      <c r="CE40" s="301" t="s">
        <v>348</v>
      </c>
      <c r="CF40" s="298" t="s">
        <v>369</v>
      </c>
      <c r="CG40" s="299" t="s">
        <v>358</v>
      </c>
      <c r="CH40" s="303">
        <v>52289.279999999999</v>
      </c>
      <c r="CI40" s="300">
        <v>8335.44</v>
      </c>
      <c r="CJ40" s="318">
        <v>60624.72</v>
      </c>
      <c r="CK40" s="323">
        <f>+(CJ40-$CJ$10)*($CJ$8-$CJ$9)</f>
        <v>8343.7080000000005</v>
      </c>
      <c r="CL40" s="319">
        <f>+(CH40+CI40)*$CL$13</f>
        <v>9020.9583359999997</v>
      </c>
      <c r="CM40" s="319">
        <f>SUM(CJ40:CL40)*$CM$8</f>
        <v>0</v>
      </c>
      <c r="CN40" s="324">
        <f t="shared" si="55"/>
        <v>77989.386335999996</v>
      </c>
    </row>
    <row r="41" spans="1:92" ht="13.5" customHeight="1" thickBot="1">
      <c r="A41" s="144"/>
      <c r="B41" s="198" t="s">
        <v>17</v>
      </c>
      <c r="C41" s="199" t="s">
        <v>97</v>
      </c>
      <c r="D41" s="204">
        <v>41786.730000000003</v>
      </c>
      <c r="E41" s="204">
        <f t="shared" si="4"/>
        <v>6469</v>
      </c>
      <c r="F41" s="127">
        <f t="shared" si="57"/>
        <v>48255.73</v>
      </c>
      <c r="G41" s="204">
        <f t="shared" si="6"/>
        <v>5827.8407400000006</v>
      </c>
      <c r="H41" s="204">
        <f t="shared" si="7"/>
        <v>7141.8480399999999</v>
      </c>
      <c r="I41" s="128">
        <f t="shared" si="8"/>
        <v>61225.41878</v>
      </c>
      <c r="J41" s="144"/>
      <c r="K41" s="205">
        <v>43041</v>
      </c>
      <c r="L41" s="204">
        <f t="shared" si="9"/>
        <v>6663</v>
      </c>
      <c r="M41" s="127">
        <f t="shared" si="58"/>
        <v>49704</v>
      </c>
      <c r="N41" s="204">
        <f t="shared" si="11"/>
        <v>6002.8620000000001</v>
      </c>
      <c r="O41" s="204">
        <f t="shared" si="12"/>
        <v>7356.192</v>
      </c>
      <c r="P41" s="128">
        <f t="shared" si="13"/>
        <v>63063.054000000004</v>
      </c>
      <c r="Q41" s="144"/>
      <c r="R41" s="205">
        <f t="shared" si="14"/>
        <v>1837.6352200000038</v>
      </c>
      <c r="S41" s="179">
        <f t="shared" si="15"/>
        <v>3.0014253174864176E-2</v>
      </c>
      <c r="T41" s="182">
        <f>SUM(R37:R41)/SUM(I37:I41)</f>
        <v>2.5494526801686901E-2</v>
      </c>
      <c r="U41" s="144"/>
      <c r="V41" s="205">
        <v>43772</v>
      </c>
      <c r="W41" s="204">
        <f t="shared" si="16"/>
        <v>6777</v>
      </c>
      <c r="X41" s="204">
        <v>481</v>
      </c>
      <c r="Y41" s="127">
        <f t="shared" si="17"/>
        <v>51030</v>
      </c>
      <c r="Z41" s="204">
        <f t="shared" si="18"/>
        <v>6185.85</v>
      </c>
      <c r="AA41" s="204">
        <f t="shared" si="19"/>
        <v>7481.2519999999995</v>
      </c>
      <c r="AB41" s="128">
        <f t="shared" si="20"/>
        <v>64697.101999999999</v>
      </c>
      <c r="AC41" s="144"/>
      <c r="AD41" s="205">
        <f t="shared" si="59"/>
        <v>1634.0479999999952</v>
      </c>
      <c r="AE41" s="179">
        <f t="shared" si="60"/>
        <v>2.5911336295257683E-2</v>
      </c>
      <c r="AF41" s="182">
        <f>SUM(AD37:AD41)/SUM(P37:P41)</f>
        <v>5.1967061191083755E-2</v>
      </c>
      <c r="AG41" s="144"/>
      <c r="AH41" s="205">
        <v>44503</v>
      </c>
      <c r="AI41" s="204">
        <f t="shared" si="23"/>
        <v>6890</v>
      </c>
      <c r="AJ41" s="204">
        <v>0</v>
      </c>
      <c r="AK41" s="127">
        <f t="shared" si="24"/>
        <v>51393</v>
      </c>
      <c r="AL41" s="204">
        <f t="shared" si="25"/>
        <v>6235.9440000000004</v>
      </c>
      <c r="AM41" s="204">
        <f t="shared" si="26"/>
        <v>7606.1639999999998</v>
      </c>
      <c r="AN41" s="128">
        <f t="shared" si="27"/>
        <v>65235.108</v>
      </c>
      <c r="AO41" s="144"/>
      <c r="AP41" s="205">
        <f t="shared" si="61"/>
        <v>538.00600000000122</v>
      </c>
      <c r="AQ41" s="179">
        <f t="shared" si="62"/>
        <v>8.3157666011068193E-3</v>
      </c>
      <c r="AR41" s="182">
        <f>SUM(AP37:AP41)/SUM(AB37:AB41)</f>
        <v>4.0543568360182372E-2</v>
      </c>
      <c r="AS41" s="144"/>
      <c r="AT41" s="205" t="e">
        <f>#REF!</f>
        <v>#REF!</v>
      </c>
      <c r="AU41" s="204" t="e">
        <f t="shared" si="47"/>
        <v>#REF!</v>
      </c>
      <c r="AV41" s="204">
        <v>0</v>
      </c>
      <c r="AW41" s="127" t="e">
        <f t="shared" si="30"/>
        <v>#REF!</v>
      </c>
      <c r="AX41" s="204" t="e">
        <f t="shared" si="48"/>
        <v>#REF!</v>
      </c>
      <c r="AY41" s="204" t="e">
        <f t="shared" si="32"/>
        <v>#REF!</v>
      </c>
      <c r="AZ41" s="128" t="e">
        <f t="shared" si="33"/>
        <v>#REF!</v>
      </c>
      <c r="BA41" s="144"/>
      <c r="BB41" s="205" t="e">
        <f t="shared" si="34"/>
        <v>#REF!</v>
      </c>
      <c r="BC41" s="179" t="e">
        <f t="shared" si="35"/>
        <v>#REF!</v>
      </c>
      <c r="BD41" s="182" t="e">
        <f>SUM(BB37:BB41)/SUM(AN37:AN41)</f>
        <v>#REF!</v>
      </c>
      <c r="BE41" s="207" t="e">
        <f t="shared" si="49"/>
        <v>#REF!</v>
      </c>
      <c r="BF41" s="282" t="e">
        <f t="shared" si="50"/>
        <v>#REF!</v>
      </c>
      <c r="BG41" s="204" t="e">
        <f t="shared" si="51"/>
        <v>#REF!</v>
      </c>
      <c r="BH41" s="204">
        <v>0</v>
      </c>
      <c r="BI41" s="127" t="e">
        <f t="shared" si="36"/>
        <v>#REF!</v>
      </c>
      <c r="BJ41" s="204" t="e">
        <f t="shared" si="52"/>
        <v>#REF!</v>
      </c>
      <c r="BK41" s="204" t="e">
        <f t="shared" si="37"/>
        <v>#REF!</v>
      </c>
      <c r="BL41" s="128" t="e">
        <f t="shared" si="38"/>
        <v>#REF!</v>
      </c>
      <c r="BM41" s="144"/>
      <c r="BN41" s="205" t="e">
        <f t="shared" si="39"/>
        <v>#REF!</v>
      </c>
      <c r="BO41" s="179" t="e">
        <f t="shared" si="40"/>
        <v>#REF!</v>
      </c>
      <c r="BP41" s="182" t="e">
        <f>SUM(BN37:BN41)/SUM(AZ37:AZ41)</f>
        <v>#REF!</v>
      </c>
      <c r="BR41" s="290" t="e">
        <f>#REF!</f>
        <v>#REF!</v>
      </c>
      <c r="BS41" s="204" t="e">
        <f t="shared" si="53"/>
        <v>#REF!</v>
      </c>
      <c r="BT41" s="204">
        <v>0</v>
      </c>
      <c r="BU41" s="127" t="e">
        <f t="shared" si="41"/>
        <v>#REF!</v>
      </c>
      <c r="BV41" s="204" t="e">
        <f t="shared" si="54"/>
        <v>#REF!</v>
      </c>
      <c r="BW41" s="204" t="e">
        <f t="shared" si="42"/>
        <v>#REF!</v>
      </c>
      <c r="BX41" s="128" t="e">
        <f t="shared" si="43"/>
        <v>#REF!</v>
      </c>
      <c r="BY41" s="291" t="e">
        <f t="shared" si="56"/>
        <v>#REF!</v>
      </c>
      <c r="BZ41" s="205" t="e">
        <f t="shared" si="45"/>
        <v>#REF!</v>
      </c>
      <c r="CA41" s="179" t="e">
        <f t="shared" si="46"/>
        <v>#REF!</v>
      </c>
      <c r="CB41" s="182" t="e">
        <f>SUM(BZ37:BZ41)/SUM(BL37:BL41)</f>
        <v>#REF!</v>
      </c>
      <c r="CD41" s="198" t="s">
        <v>17</v>
      </c>
      <c r="CE41" s="308" t="s">
        <v>342</v>
      </c>
      <c r="CF41" s="312" t="s">
        <v>370</v>
      </c>
      <c r="CG41" s="309" t="s">
        <v>360</v>
      </c>
      <c r="CH41" s="311">
        <v>53865.18</v>
      </c>
      <c r="CI41" s="311">
        <v>8335.44</v>
      </c>
      <c r="CJ41" s="317">
        <v>62200.62</v>
      </c>
      <c r="CK41" s="325">
        <f>+(CJ41-$CJ$10)*($CJ$8-$CJ$9)</f>
        <v>8580.0930000000008</v>
      </c>
      <c r="CL41" s="326">
        <f>+(CH41+CI41)*$CL$13</f>
        <v>9255.4522560000005</v>
      </c>
      <c r="CM41" s="326">
        <f>SUM(CJ41:CL41)*$CM$8</f>
        <v>0</v>
      </c>
      <c r="CN41" s="327">
        <f t="shared" si="55"/>
        <v>80036.165256000008</v>
      </c>
    </row>
    <row r="42" spans="1:92" ht="12.75" customHeight="1">
      <c r="A42" s="144"/>
      <c r="B42" s="196" t="s">
        <v>18</v>
      </c>
      <c r="C42" s="197" t="s">
        <v>96</v>
      </c>
      <c r="D42" s="200">
        <v>40428.28</v>
      </c>
      <c r="E42" s="200">
        <f t="shared" si="4"/>
        <v>6469</v>
      </c>
      <c r="F42" s="124">
        <f t="shared" si="57"/>
        <v>46897.279999999999</v>
      </c>
      <c r="G42" s="200">
        <f t="shared" si="6"/>
        <v>5640.37464</v>
      </c>
      <c r="H42" s="200">
        <f t="shared" si="7"/>
        <v>6940.7974399999994</v>
      </c>
      <c r="I42" s="125">
        <f t="shared" si="8"/>
        <v>59478.452080000003</v>
      </c>
      <c r="J42" s="144"/>
      <c r="K42" s="201">
        <v>42414</v>
      </c>
      <c r="L42" s="200">
        <f t="shared" si="9"/>
        <v>6663</v>
      </c>
      <c r="M42" s="124">
        <f t="shared" si="58"/>
        <v>49077</v>
      </c>
      <c r="N42" s="200">
        <f t="shared" si="11"/>
        <v>5916.3360000000002</v>
      </c>
      <c r="O42" s="200">
        <f t="shared" si="12"/>
        <v>7263.3959999999997</v>
      </c>
      <c r="P42" s="125">
        <f t="shared" si="13"/>
        <v>62256.732000000004</v>
      </c>
      <c r="Q42" s="144"/>
      <c r="R42" s="201">
        <f t="shared" si="14"/>
        <v>2778.2799200000009</v>
      </c>
      <c r="S42" s="178">
        <f t="shared" si="15"/>
        <v>4.6710696442858753E-2</v>
      </c>
      <c r="T42" s="181"/>
      <c r="U42" s="144"/>
      <c r="V42" s="201">
        <v>44606</v>
      </c>
      <c r="W42" s="200">
        <f t="shared" si="16"/>
        <v>6777</v>
      </c>
      <c r="X42" s="200">
        <v>0</v>
      </c>
      <c r="Y42" s="124">
        <f t="shared" si="17"/>
        <v>51383</v>
      </c>
      <c r="Z42" s="200">
        <f t="shared" si="18"/>
        <v>6234.5640000000003</v>
      </c>
      <c r="AA42" s="200">
        <f t="shared" si="19"/>
        <v>7604.6839999999993</v>
      </c>
      <c r="AB42" s="125">
        <f t="shared" si="20"/>
        <v>65222.248</v>
      </c>
      <c r="AC42" s="144"/>
      <c r="AD42" s="201">
        <f t="shared" si="59"/>
        <v>2965.515999999996</v>
      </c>
      <c r="AE42" s="178">
        <f t="shared" si="60"/>
        <v>4.7633659922913969E-2</v>
      </c>
      <c r="AF42" s="181"/>
      <c r="AG42" s="144"/>
      <c r="AH42" s="201">
        <v>45753</v>
      </c>
      <c r="AI42" s="200">
        <f t="shared" si="23"/>
        <v>6890</v>
      </c>
      <c r="AJ42" s="200">
        <v>0</v>
      </c>
      <c r="AK42" s="124">
        <f t="shared" si="24"/>
        <v>52643</v>
      </c>
      <c r="AL42" s="200">
        <f t="shared" si="25"/>
        <v>6408.4440000000004</v>
      </c>
      <c r="AM42" s="200">
        <f t="shared" si="26"/>
        <v>7791.1639999999998</v>
      </c>
      <c r="AN42" s="125">
        <f t="shared" si="27"/>
        <v>66842.608000000007</v>
      </c>
      <c r="AO42" s="144"/>
      <c r="AP42" s="201">
        <f t="shared" si="61"/>
        <v>1620.3600000000079</v>
      </c>
      <c r="AQ42" s="178">
        <f t="shared" si="62"/>
        <v>2.4843669908464483E-2</v>
      </c>
      <c r="AR42" s="181"/>
      <c r="AS42" s="144"/>
      <c r="AT42" s="203">
        <v>47126</v>
      </c>
      <c r="AU42" s="200">
        <f t="shared" si="47"/>
        <v>7097</v>
      </c>
      <c r="AV42" s="200">
        <v>0</v>
      </c>
      <c r="AW42" s="124">
        <f t="shared" si="30"/>
        <v>54223</v>
      </c>
      <c r="AX42" s="200">
        <f t="shared" si="48"/>
        <v>6262.8540000000003</v>
      </c>
      <c r="AY42" s="200">
        <f t="shared" si="32"/>
        <v>8041.2708999999995</v>
      </c>
      <c r="AZ42" s="125">
        <f t="shared" si="33"/>
        <v>68527.124899999995</v>
      </c>
      <c r="BA42" s="144"/>
      <c r="BB42" s="201">
        <f t="shared" si="34"/>
        <v>1684.5168999999878</v>
      </c>
      <c r="BC42" s="178">
        <f t="shared" si="35"/>
        <v>2.5201244391900263E-2</v>
      </c>
      <c r="BD42" s="181"/>
      <c r="BE42" s="207">
        <f t="shared" si="49"/>
        <v>1400</v>
      </c>
      <c r="BF42" s="283">
        <f>AT42+$BF$9</f>
        <v>48526</v>
      </c>
      <c r="BG42" s="200">
        <f t="shared" si="51"/>
        <v>7377</v>
      </c>
      <c r="BH42" s="200">
        <v>0</v>
      </c>
      <c r="BI42" s="124">
        <f t="shared" si="36"/>
        <v>55903</v>
      </c>
      <c r="BJ42" s="200">
        <f t="shared" si="52"/>
        <v>7043.8515000000007</v>
      </c>
      <c r="BK42" s="200">
        <f t="shared" si="37"/>
        <v>8569.9298999999992</v>
      </c>
      <c r="BL42" s="125">
        <f t="shared" si="38"/>
        <v>71516.781400000007</v>
      </c>
      <c r="BM42" s="144"/>
      <c r="BN42" s="201">
        <f t="shared" si="39"/>
        <v>2989.6565000000119</v>
      </c>
      <c r="BO42" s="178">
        <f t="shared" si="40"/>
        <v>4.3627344710036306E-2</v>
      </c>
      <c r="BP42" s="181"/>
      <c r="BR42" s="288">
        <v>50952</v>
      </c>
      <c r="BS42" s="200">
        <f t="shared" si="53"/>
        <v>7745.85</v>
      </c>
      <c r="BT42" s="200">
        <v>0</v>
      </c>
      <c r="BU42" s="124">
        <f t="shared" si="41"/>
        <v>58697.85</v>
      </c>
      <c r="BV42" s="200">
        <f t="shared" si="54"/>
        <v>6844.5033000000003</v>
      </c>
      <c r="BW42" s="200">
        <f t="shared" si="42"/>
        <v>8998.3804049999999</v>
      </c>
      <c r="BX42" s="125">
        <f t="shared" si="43"/>
        <v>74540.733705000006</v>
      </c>
      <c r="BY42" s="291">
        <f t="shared" si="56"/>
        <v>0.26990568998694164</v>
      </c>
      <c r="BZ42" s="201">
        <f t="shared" si="45"/>
        <v>3023.9523049999989</v>
      </c>
      <c r="CA42" s="178">
        <f t="shared" si="46"/>
        <v>4.2283115176656963E-2</v>
      </c>
      <c r="CB42" s="181"/>
      <c r="CD42" s="196" t="s">
        <v>18</v>
      </c>
      <c r="CE42" s="304" t="s">
        <v>336</v>
      </c>
      <c r="CF42" s="305" t="s">
        <v>371</v>
      </c>
      <c r="CG42" s="305" t="s">
        <v>346</v>
      </c>
      <c r="CH42" s="307">
        <v>54829.08</v>
      </c>
      <c r="CI42" s="307">
        <v>8335.44</v>
      </c>
      <c r="CJ42" s="316">
        <v>63164.520000000004</v>
      </c>
      <c r="CK42" s="323">
        <f>+(CJ42-$CJ$10)*($CJ$8-$CJ$9)</f>
        <v>8724.6779999999999</v>
      </c>
      <c r="CL42" s="319">
        <f>+(CH42+CI42)*$CL$13</f>
        <v>9398.8805759999996</v>
      </c>
      <c r="CM42" s="319">
        <f>SUM(CJ42:CL42)*$CM$8</f>
        <v>0</v>
      </c>
      <c r="CN42" s="324">
        <f t="shared" si="55"/>
        <v>81288.078576</v>
      </c>
    </row>
    <row r="43" spans="1:92" ht="12.75" customHeight="1">
      <c r="A43" s="144"/>
      <c r="B43" s="149" t="s">
        <v>18</v>
      </c>
      <c r="C43" s="151" t="s">
        <v>97</v>
      </c>
      <c r="D43" s="202">
        <v>41786.730000000003</v>
      </c>
      <c r="E43" s="202">
        <f t="shared" si="4"/>
        <v>6469</v>
      </c>
      <c r="F43" s="129">
        <f t="shared" si="57"/>
        <v>48255.73</v>
      </c>
      <c r="G43" s="202">
        <f t="shared" si="6"/>
        <v>5827.8407400000006</v>
      </c>
      <c r="H43" s="202">
        <f t="shared" si="7"/>
        <v>7141.8480399999999</v>
      </c>
      <c r="I43" s="130">
        <f t="shared" si="8"/>
        <v>61225.41878</v>
      </c>
      <c r="J43" s="144"/>
      <c r="K43" s="203">
        <v>42414</v>
      </c>
      <c r="L43" s="202">
        <f t="shared" si="9"/>
        <v>6663</v>
      </c>
      <c r="M43" s="129">
        <f t="shared" si="58"/>
        <v>49077</v>
      </c>
      <c r="N43" s="202">
        <f t="shared" si="11"/>
        <v>5916.3360000000002</v>
      </c>
      <c r="O43" s="202">
        <f t="shared" si="12"/>
        <v>7263.3959999999997</v>
      </c>
      <c r="P43" s="130">
        <f t="shared" si="13"/>
        <v>62256.732000000004</v>
      </c>
      <c r="Q43" s="144"/>
      <c r="R43" s="203">
        <f t="shared" si="14"/>
        <v>1031.3132200000036</v>
      </c>
      <c r="S43" s="180">
        <f t="shared" si="15"/>
        <v>1.6844527004475047E-2</v>
      </c>
      <c r="T43" s="183"/>
      <c r="U43" s="144"/>
      <c r="V43" s="203">
        <v>44606</v>
      </c>
      <c r="W43" s="202">
        <f t="shared" si="16"/>
        <v>6777</v>
      </c>
      <c r="X43" s="202">
        <v>0</v>
      </c>
      <c r="Y43" s="129">
        <f t="shared" si="17"/>
        <v>51383</v>
      </c>
      <c r="Z43" s="202">
        <f t="shared" si="18"/>
        <v>6234.5640000000003</v>
      </c>
      <c r="AA43" s="202">
        <f t="shared" si="19"/>
        <v>7604.6839999999993</v>
      </c>
      <c r="AB43" s="130">
        <f t="shared" si="20"/>
        <v>65222.248</v>
      </c>
      <c r="AC43" s="144"/>
      <c r="AD43" s="203">
        <f t="shared" si="59"/>
        <v>2965.515999999996</v>
      </c>
      <c r="AE43" s="180">
        <f t="shared" si="60"/>
        <v>4.7633659922913969E-2</v>
      </c>
      <c r="AF43" s="183"/>
      <c r="AG43" s="144"/>
      <c r="AH43" s="203">
        <v>45753</v>
      </c>
      <c r="AI43" s="202">
        <f t="shared" si="23"/>
        <v>6890</v>
      </c>
      <c r="AJ43" s="202">
        <v>0</v>
      </c>
      <c r="AK43" s="129">
        <f t="shared" si="24"/>
        <v>52643</v>
      </c>
      <c r="AL43" s="202">
        <f t="shared" si="25"/>
        <v>6408.4440000000004</v>
      </c>
      <c r="AM43" s="202">
        <f t="shared" si="26"/>
        <v>7791.1639999999998</v>
      </c>
      <c r="AN43" s="130">
        <f t="shared" si="27"/>
        <v>66842.608000000007</v>
      </c>
      <c r="AO43" s="144"/>
      <c r="AP43" s="203">
        <f t="shared" si="61"/>
        <v>1620.3600000000079</v>
      </c>
      <c r="AQ43" s="180">
        <f t="shared" si="62"/>
        <v>2.4843669908464483E-2</v>
      </c>
      <c r="AR43" s="183"/>
      <c r="AS43" s="144"/>
      <c r="AT43" s="203">
        <f>AT42</f>
        <v>47126</v>
      </c>
      <c r="AU43" s="202">
        <f t="shared" si="47"/>
        <v>7097</v>
      </c>
      <c r="AV43" s="202">
        <v>0</v>
      </c>
      <c r="AW43" s="129">
        <f t="shared" si="30"/>
        <v>54223</v>
      </c>
      <c r="AX43" s="202">
        <f t="shared" si="48"/>
        <v>6262.8540000000003</v>
      </c>
      <c r="AY43" s="202">
        <f t="shared" si="32"/>
        <v>8041.2708999999995</v>
      </c>
      <c r="AZ43" s="130">
        <f t="shared" si="33"/>
        <v>68527.124899999995</v>
      </c>
      <c r="BA43" s="144"/>
      <c r="BB43" s="203">
        <f t="shared" si="34"/>
        <v>1684.5168999999878</v>
      </c>
      <c r="BC43" s="180">
        <f t="shared" si="35"/>
        <v>2.5201244391900263E-2</v>
      </c>
      <c r="BD43" s="183"/>
      <c r="BE43" s="207">
        <f t="shared" si="49"/>
        <v>1400</v>
      </c>
      <c r="BF43" s="206">
        <f t="shared" ref="BF43:BF66" si="63">AT43+$BF$9</f>
        <v>48526</v>
      </c>
      <c r="BG43" s="202">
        <f t="shared" si="51"/>
        <v>7377</v>
      </c>
      <c r="BH43" s="202">
        <v>0</v>
      </c>
      <c r="BI43" s="129">
        <f t="shared" si="36"/>
        <v>55903</v>
      </c>
      <c r="BJ43" s="202">
        <f t="shared" si="52"/>
        <v>7043.8515000000007</v>
      </c>
      <c r="BK43" s="202">
        <f t="shared" si="37"/>
        <v>8569.9298999999992</v>
      </c>
      <c r="BL43" s="130">
        <f t="shared" si="38"/>
        <v>71516.781400000007</v>
      </c>
      <c r="BM43" s="144"/>
      <c r="BN43" s="203">
        <f t="shared" si="39"/>
        <v>2989.6565000000119</v>
      </c>
      <c r="BO43" s="180">
        <f t="shared" si="40"/>
        <v>4.3627344710036306E-2</v>
      </c>
      <c r="BP43" s="183"/>
      <c r="BR43" s="289">
        <f t="shared" ref="BR43:BR45" si="64">BR42</f>
        <v>50952</v>
      </c>
      <c r="BS43" s="202">
        <f t="shared" si="53"/>
        <v>7745.85</v>
      </c>
      <c r="BT43" s="202">
        <v>0</v>
      </c>
      <c r="BU43" s="129">
        <f t="shared" si="41"/>
        <v>58697.85</v>
      </c>
      <c r="BV43" s="202">
        <f t="shared" si="54"/>
        <v>6844.5033000000003</v>
      </c>
      <c r="BW43" s="202">
        <f t="shared" si="42"/>
        <v>8998.3804049999999</v>
      </c>
      <c r="BX43" s="130">
        <f t="shared" si="43"/>
        <v>74540.733705000006</v>
      </c>
      <c r="BY43" s="291">
        <f t="shared" si="56"/>
        <v>0.26990568998694164</v>
      </c>
      <c r="BZ43" s="203">
        <f t="shared" si="45"/>
        <v>3023.9523049999989</v>
      </c>
      <c r="CA43" s="180">
        <f t="shared" si="46"/>
        <v>4.2283115176656963E-2</v>
      </c>
      <c r="CB43" s="183"/>
      <c r="CD43" s="149" t="s">
        <v>18</v>
      </c>
      <c r="CE43" s="301" t="s">
        <v>354</v>
      </c>
      <c r="CF43" s="298" t="s">
        <v>372</v>
      </c>
      <c r="CG43" s="299" t="s">
        <v>341</v>
      </c>
      <c r="CH43" s="303">
        <v>56513.1</v>
      </c>
      <c r="CI43" s="300">
        <v>8335.44</v>
      </c>
      <c r="CJ43" s="318">
        <v>64848.54</v>
      </c>
      <c r="CK43" s="323">
        <f>+(CJ43-$CJ$10)*($CJ$8-$CJ$9)</f>
        <v>8977.280999999999</v>
      </c>
      <c r="CL43" s="319">
        <f>+(CH43+CI43)*$CL$13</f>
        <v>9649.4627519999995</v>
      </c>
      <c r="CM43" s="319">
        <f>SUM(CJ43:CL43)*$CM$8</f>
        <v>0</v>
      </c>
      <c r="CN43" s="324">
        <f t="shared" si="55"/>
        <v>83475.283751999988</v>
      </c>
    </row>
    <row r="44" spans="1:92" ht="12.75" customHeight="1">
      <c r="A44" s="144"/>
      <c r="B44" s="149" t="s">
        <v>18</v>
      </c>
      <c r="C44" s="151" t="s">
        <v>98</v>
      </c>
      <c r="D44" s="202">
        <v>45150.03</v>
      </c>
      <c r="E44" s="202">
        <f t="shared" si="4"/>
        <v>6469</v>
      </c>
      <c r="F44" s="129">
        <f t="shared" si="57"/>
        <v>51619.03</v>
      </c>
      <c r="G44" s="202">
        <f t="shared" si="6"/>
        <v>6291.9761400000007</v>
      </c>
      <c r="H44" s="202">
        <f t="shared" si="7"/>
        <v>7639.6164399999998</v>
      </c>
      <c r="I44" s="130">
        <f t="shared" si="8"/>
        <v>65550.622579999996</v>
      </c>
      <c r="J44" s="144"/>
      <c r="K44" s="203">
        <v>45827</v>
      </c>
      <c r="L44" s="202">
        <f t="shared" si="9"/>
        <v>6663</v>
      </c>
      <c r="M44" s="129">
        <f t="shared" si="58"/>
        <v>52490</v>
      </c>
      <c r="N44" s="202">
        <f t="shared" si="11"/>
        <v>6387.3300000000008</v>
      </c>
      <c r="O44" s="202">
        <f t="shared" si="12"/>
        <v>7768.5199999999995</v>
      </c>
      <c r="P44" s="130">
        <f t="shared" si="13"/>
        <v>66645.850000000006</v>
      </c>
      <c r="Q44" s="144"/>
      <c r="R44" s="203">
        <f t="shared" si="14"/>
        <v>1095.2274200000102</v>
      </c>
      <c r="S44" s="180">
        <f t="shared" si="15"/>
        <v>1.6708116214508274E-2</v>
      </c>
      <c r="T44" s="183"/>
      <c r="U44" s="144"/>
      <c r="V44" s="203">
        <v>46331</v>
      </c>
      <c r="W44" s="202">
        <f t="shared" si="16"/>
        <v>6777</v>
      </c>
      <c r="X44" s="202">
        <v>0</v>
      </c>
      <c r="Y44" s="129">
        <f t="shared" si="17"/>
        <v>53108</v>
      </c>
      <c r="Z44" s="202">
        <f t="shared" si="18"/>
        <v>6472.6140000000005</v>
      </c>
      <c r="AA44" s="202">
        <f t="shared" si="19"/>
        <v>7859.9839999999995</v>
      </c>
      <c r="AB44" s="130">
        <f t="shared" si="20"/>
        <v>67440.597999999998</v>
      </c>
      <c r="AC44" s="144"/>
      <c r="AD44" s="203">
        <f t="shared" si="59"/>
        <v>794.74799999999232</v>
      </c>
      <c r="AE44" s="180">
        <f t="shared" si="60"/>
        <v>1.1924943563627626E-2</v>
      </c>
      <c r="AF44" s="183"/>
      <c r="AG44" s="144"/>
      <c r="AH44" s="206">
        <v>45753</v>
      </c>
      <c r="AI44" s="202">
        <f t="shared" si="23"/>
        <v>6890</v>
      </c>
      <c r="AJ44" s="202">
        <v>765</v>
      </c>
      <c r="AK44" s="129">
        <f t="shared" si="24"/>
        <v>53408</v>
      </c>
      <c r="AL44" s="202">
        <f t="shared" si="25"/>
        <v>6514.0140000000001</v>
      </c>
      <c r="AM44" s="202">
        <f t="shared" si="26"/>
        <v>7791.1639999999998</v>
      </c>
      <c r="AN44" s="130">
        <f t="shared" si="27"/>
        <v>67713.178</v>
      </c>
      <c r="AO44" s="144"/>
      <c r="AP44" s="203">
        <f t="shared" si="61"/>
        <v>272.58000000000175</v>
      </c>
      <c r="AQ44" s="180">
        <f t="shared" si="62"/>
        <v>4.041779107593348E-3</v>
      </c>
      <c r="AR44" s="183"/>
      <c r="AS44" s="144"/>
      <c r="AT44" s="203" t="e">
        <f>#REF!</f>
        <v>#REF!</v>
      </c>
      <c r="AU44" s="202" t="e">
        <f t="shared" si="47"/>
        <v>#REF!</v>
      </c>
      <c r="AV44" s="202">
        <v>765</v>
      </c>
      <c r="AW44" s="129" t="e">
        <f t="shared" si="30"/>
        <v>#REF!</v>
      </c>
      <c r="AX44" s="202" t="e">
        <f t="shared" si="48"/>
        <v>#REF!</v>
      </c>
      <c r="AY44" s="202" t="e">
        <f t="shared" si="32"/>
        <v>#REF!</v>
      </c>
      <c r="AZ44" s="130" t="e">
        <f t="shared" si="33"/>
        <v>#REF!</v>
      </c>
      <c r="BA44" s="144"/>
      <c r="BB44" s="203" t="e">
        <f t="shared" si="34"/>
        <v>#REF!</v>
      </c>
      <c r="BC44" s="180" t="e">
        <f t="shared" si="35"/>
        <v>#REF!</v>
      </c>
      <c r="BD44" s="183"/>
      <c r="BE44" s="207" t="e">
        <f t="shared" si="49"/>
        <v>#REF!</v>
      </c>
      <c r="BF44" s="206" t="e">
        <f t="shared" si="63"/>
        <v>#REF!</v>
      </c>
      <c r="BG44" s="202" t="e">
        <f t="shared" si="51"/>
        <v>#REF!</v>
      </c>
      <c r="BH44" s="202">
        <v>765</v>
      </c>
      <c r="BI44" s="129" t="e">
        <f t="shared" si="36"/>
        <v>#REF!</v>
      </c>
      <c r="BJ44" s="202" t="e">
        <f t="shared" si="52"/>
        <v>#REF!</v>
      </c>
      <c r="BK44" s="202" t="e">
        <f t="shared" si="37"/>
        <v>#REF!</v>
      </c>
      <c r="BL44" s="130" t="e">
        <f t="shared" si="38"/>
        <v>#REF!</v>
      </c>
      <c r="BM44" s="144"/>
      <c r="BN44" s="203" t="e">
        <f t="shared" si="39"/>
        <v>#REF!</v>
      </c>
      <c r="BO44" s="180" t="e">
        <f t="shared" si="40"/>
        <v>#REF!</v>
      </c>
      <c r="BP44" s="183"/>
      <c r="BR44" s="289" t="e">
        <f>#REF!</f>
        <v>#REF!</v>
      </c>
      <c r="BS44" s="202" t="e">
        <f t="shared" si="53"/>
        <v>#REF!</v>
      </c>
      <c r="BT44" s="202">
        <v>765</v>
      </c>
      <c r="BU44" s="129" t="e">
        <f t="shared" si="41"/>
        <v>#REF!</v>
      </c>
      <c r="BV44" s="202" t="e">
        <f t="shared" si="54"/>
        <v>#REF!</v>
      </c>
      <c r="BW44" s="202" t="e">
        <f t="shared" si="42"/>
        <v>#REF!</v>
      </c>
      <c r="BX44" s="130" t="e">
        <f t="shared" si="43"/>
        <v>#REF!</v>
      </c>
      <c r="BY44" s="291" t="e">
        <f t="shared" si="56"/>
        <v>#REF!</v>
      </c>
      <c r="BZ44" s="203" t="e">
        <f t="shared" si="45"/>
        <v>#REF!</v>
      </c>
      <c r="CA44" s="180" t="e">
        <f t="shared" si="46"/>
        <v>#REF!</v>
      </c>
      <c r="CB44" s="183"/>
      <c r="CD44" s="149" t="s">
        <v>18</v>
      </c>
      <c r="CE44" s="301" t="s">
        <v>339</v>
      </c>
      <c r="CF44" s="298" t="s">
        <v>373</v>
      </c>
      <c r="CG44" s="299" t="s">
        <v>350</v>
      </c>
      <c r="CH44" s="303">
        <v>58600.020000000004</v>
      </c>
      <c r="CI44" s="300">
        <v>8335.44</v>
      </c>
      <c r="CJ44" s="318">
        <v>66935.460000000006</v>
      </c>
      <c r="CK44" s="323">
        <f>+(CJ44-$CJ$10)*($CJ$8-$CJ$9)</f>
        <v>9290.3190000000013</v>
      </c>
      <c r="CL44" s="319">
        <f>+(CH44+CI44)*$CL$13</f>
        <v>9959.9964479999999</v>
      </c>
      <c r="CM44" s="319">
        <f>SUM(CJ44:CL44)*$CM$8</f>
        <v>0</v>
      </c>
      <c r="CN44" s="324">
        <f t="shared" si="55"/>
        <v>86185.775448000015</v>
      </c>
    </row>
    <row r="45" spans="1:92" ht="13.5" customHeight="1">
      <c r="A45" s="144"/>
      <c r="B45" s="149" t="s">
        <v>18</v>
      </c>
      <c r="C45" s="151" t="s">
        <v>99</v>
      </c>
      <c r="D45" s="202">
        <v>47091.25</v>
      </c>
      <c r="E45" s="202">
        <f t="shared" si="4"/>
        <v>6469</v>
      </c>
      <c r="F45" s="129">
        <f t="shared" si="57"/>
        <v>53560.25</v>
      </c>
      <c r="G45" s="202">
        <f t="shared" si="6"/>
        <v>6559.8645000000006</v>
      </c>
      <c r="H45" s="202">
        <f t="shared" si="7"/>
        <v>7926.9169999999995</v>
      </c>
      <c r="I45" s="130">
        <f t="shared" si="8"/>
        <v>68047.031499999997</v>
      </c>
      <c r="J45" s="144"/>
      <c r="K45" s="203">
        <v>47798</v>
      </c>
      <c r="L45" s="202">
        <f t="shared" si="9"/>
        <v>6663</v>
      </c>
      <c r="M45" s="129">
        <f t="shared" si="58"/>
        <v>54461</v>
      </c>
      <c r="N45" s="202">
        <f t="shared" si="11"/>
        <v>6659.3280000000004</v>
      </c>
      <c r="O45" s="202">
        <f t="shared" si="12"/>
        <v>8060.2279999999992</v>
      </c>
      <c r="P45" s="130">
        <f t="shared" si="13"/>
        <v>69180.555999999997</v>
      </c>
      <c r="Q45" s="144"/>
      <c r="R45" s="203">
        <f t="shared" si="14"/>
        <v>1133.5244999999995</v>
      </c>
      <c r="S45" s="180">
        <f t="shared" si="15"/>
        <v>1.6657956636947486E-2</v>
      </c>
      <c r="T45" s="183"/>
      <c r="U45" s="144"/>
      <c r="V45" s="203">
        <v>48324</v>
      </c>
      <c r="W45" s="202">
        <f t="shared" si="16"/>
        <v>6777</v>
      </c>
      <c r="X45" s="202">
        <v>0</v>
      </c>
      <c r="Y45" s="129">
        <f t="shared" si="17"/>
        <v>55101</v>
      </c>
      <c r="Z45" s="202">
        <f t="shared" si="18"/>
        <v>6747.6480000000001</v>
      </c>
      <c r="AA45" s="202">
        <f t="shared" si="19"/>
        <v>8154.9479999999994</v>
      </c>
      <c r="AB45" s="130">
        <f t="shared" si="20"/>
        <v>70003.596000000005</v>
      </c>
      <c r="AC45" s="144"/>
      <c r="AD45" s="203">
        <f t="shared" si="59"/>
        <v>823.04000000000815</v>
      </c>
      <c r="AE45" s="180">
        <f t="shared" si="60"/>
        <v>1.1896984464825755E-2</v>
      </c>
      <c r="AF45" s="183"/>
      <c r="AG45" s="144"/>
      <c r="AH45" s="206">
        <v>45753</v>
      </c>
      <c r="AI45" s="202">
        <f t="shared" si="23"/>
        <v>6890</v>
      </c>
      <c r="AJ45" s="202">
        <v>2766</v>
      </c>
      <c r="AK45" s="129">
        <f t="shared" si="24"/>
        <v>55409</v>
      </c>
      <c r="AL45" s="202">
        <f t="shared" si="25"/>
        <v>6790.152000000001</v>
      </c>
      <c r="AM45" s="202">
        <f t="shared" si="26"/>
        <v>7791.1639999999998</v>
      </c>
      <c r="AN45" s="130">
        <f t="shared" si="27"/>
        <v>69990.316000000006</v>
      </c>
      <c r="AO45" s="144"/>
      <c r="AP45" s="203">
        <f t="shared" si="61"/>
        <v>-13.279999999998836</v>
      </c>
      <c r="AQ45" s="180">
        <f t="shared" si="62"/>
        <v>-1.897045403210263E-4</v>
      </c>
      <c r="AR45" s="183"/>
      <c r="AS45" s="144"/>
      <c r="AT45" s="203" t="e">
        <f>AT44</f>
        <v>#REF!</v>
      </c>
      <c r="AU45" s="202" t="e">
        <f t="shared" si="47"/>
        <v>#REF!</v>
      </c>
      <c r="AV45" s="202">
        <v>2766</v>
      </c>
      <c r="AW45" s="129" t="e">
        <f t="shared" si="30"/>
        <v>#REF!</v>
      </c>
      <c r="AX45" s="202" t="e">
        <f t="shared" si="48"/>
        <v>#REF!</v>
      </c>
      <c r="AY45" s="202" t="e">
        <f t="shared" si="32"/>
        <v>#REF!</v>
      </c>
      <c r="AZ45" s="130" t="e">
        <f t="shared" si="33"/>
        <v>#REF!</v>
      </c>
      <c r="BA45" s="144"/>
      <c r="BB45" s="203" t="e">
        <f t="shared" si="34"/>
        <v>#REF!</v>
      </c>
      <c r="BC45" s="180" t="e">
        <f t="shared" si="35"/>
        <v>#REF!</v>
      </c>
      <c r="BD45" s="183"/>
      <c r="BE45" s="207" t="e">
        <f t="shared" si="49"/>
        <v>#REF!</v>
      </c>
      <c r="BF45" s="206" t="e">
        <f t="shared" si="63"/>
        <v>#REF!</v>
      </c>
      <c r="BG45" s="202" t="e">
        <f t="shared" si="51"/>
        <v>#REF!</v>
      </c>
      <c r="BH45" s="202">
        <v>2766</v>
      </c>
      <c r="BI45" s="129" t="e">
        <f t="shared" si="36"/>
        <v>#REF!</v>
      </c>
      <c r="BJ45" s="202" t="e">
        <f t="shared" si="52"/>
        <v>#REF!</v>
      </c>
      <c r="BK45" s="202" t="e">
        <f t="shared" si="37"/>
        <v>#REF!</v>
      </c>
      <c r="BL45" s="130" t="e">
        <f t="shared" si="38"/>
        <v>#REF!</v>
      </c>
      <c r="BM45" s="144"/>
      <c r="BN45" s="203" t="e">
        <f t="shared" si="39"/>
        <v>#REF!</v>
      </c>
      <c r="BO45" s="180" t="e">
        <f t="shared" si="40"/>
        <v>#REF!</v>
      </c>
      <c r="BP45" s="183"/>
      <c r="BR45" s="289" t="e">
        <f t="shared" si="64"/>
        <v>#REF!</v>
      </c>
      <c r="BS45" s="202" t="e">
        <f t="shared" si="53"/>
        <v>#REF!</v>
      </c>
      <c r="BT45" s="202">
        <v>2766</v>
      </c>
      <c r="BU45" s="129" t="e">
        <f t="shared" si="41"/>
        <v>#REF!</v>
      </c>
      <c r="BV45" s="202" t="e">
        <f t="shared" si="54"/>
        <v>#REF!</v>
      </c>
      <c r="BW45" s="202" t="e">
        <f t="shared" si="42"/>
        <v>#REF!</v>
      </c>
      <c r="BX45" s="130" t="e">
        <f t="shared" si="43"/>
        <v>#REF!</v>
      </c>
      <c r="BY45" s="291" t="e">
        <f t="shared" si="56"/>
        <v>#REF!</v>
      </c>
      <c r="BZ45" s="203" t="e">
        <f t="shared" si="45"/>
        <v>#REF!</v>
      </c>
      <c r="CA45" s="180" t="e">
        <f t="shared" si="46"/>
        <v>#REF!</v>
      </c>
      <c r="CB45" s="183"/>
      <c r="CD45" s="149" t="s">
        <v>18</v>
      </c>
      <c r="CE45" s="301" t="s">
        <v>348</v>
      </c>
      <c r="CF45" s="298" t="s">
        <v>374</v>
      </c>
      <c r="CG45" s="299" t="s">
        <v>358</v>
      </c>
      <c r="CH45" s="303">
        <v>59423.16</v>
      </c>
      <c r="CI45" s="300">
        <v>8335.44</v>
      </c>
      <c r="CJ45" s="318">
        <v>67758.600000000006</v>
      </c>
      <c r="CK45" s="323">
        <f>+(CJ45-$CJ$10)*($CJ$8-$CJ$9)</f>
        <v>9413.7900000000009</v>
      </c>
      <c r="CL45" s="319">
        <f>+(CH45+CI45)*$CL$13</f>
        <v>10082.47968</v>
      </c>
      <c r="CM45" s="319">
        <f>SUM(CJ45:CL45)*$CM$8</f>
        <v>0</v>
      </c>
      <c r="CN45" s="324">
        <f t="shared" si="55"/>
        <v>87254.869680000018</v>
      </c>
    </row>
    <row r="46" spans="1:92" ht="12.75" customHeight="1" thickBot="1">
      <c r="A46" s="144"/>
      <c r="B46" s="198" t="s">
        <v>18</v>
      </c>
      <c r="C46" s="199" t="s">
        <v>100</v>
      </c>
      <c r="D46" s="204">
        <v>48514.340000000004</v>
      </c>
      <c r="E46" s="204">
        <f t="shared" si="4"/>
        <v>6469</v>
      </c>
      <c r="F46" s="127">
        <f t="shared" si="57"/>
        <v>54983.340000000004</v>
      </c>
      <c r="G46" s="204">
        <f t="shared" si="6"/>
        <v>6756.2509200000013</v>
      </c>
      <c r="H46" s="204">
        <f t="shared" si="7"/>
        <v>8137.5343199999998</v>
      </c>
      <c r="I46" s="128">
        <f t="shared" si="8"/>
        <v>69877.125240000008</v>
      </c>
      <c r="J46" s="144"/>
      <c r="K46" s="205">
        <v>49969</v>
      </c>
      <c r="L46" s="204">
        <f t="shared" si="9"/>
        <v>6663</v>
      </c>
      <c r="M46" s="127">
        <f t="shared" si="58"/>
        <v>56632</v>
      </c>
      <c r="N46" s="204">
        <f t="shared" si="11"/>
        <v>6958.9260000000004</v>
      </c>
      <c r="O46" s="204">
        <f t="shared" si="12"/>
        <v>8381.5360000000001</v>
      </c>
      <c r="P46" s="128">
        <f t="shared" si="13"/>
        <v>71972.462</v>
      </c>
      <c r="Q46" s="144"/>
      <c r="R46" s="205">
        <f t="shared" si="14"/>
        <v>2095.336759999991</v>
      </c>
      <c r="S46" s="179">
        <f t="shared" si="15"/>
        <v>2.9986018354409207E-2</v>
      </c>
      <c r="T46" s="182">
        <f>SUM(R42:R46)/SUM(I42:I46)</f>
        <v>2.509012180624413E-2</v>
      </c>
      <c r="U46" s="144"/>
      <c r="V46" s="205">
        <v>50819</v>
      </c>
      <c r="W46" s="204">
        <f t="shared" si="16"/>
        <v>6777</v>
      </c>
      <c r="X46" s="204">
        <v>559</v>
      </c>
      <c r="Y46" s="127">
        <f t="shared" si="17"/>
        <v>58155</v>
      </c>
      <c r="Z46" s="204">
        <f t="shared" si="18"/>
        <v>7169.1</v>
      </c>
      <c r="AA46" s="204">
        <f t="shared" si="19"/>
        <v>8524.2079999999987</v>
      </c>
      <c r="AB46" s="128">
        <f t="shared" si="20"/>
        <v>73848.30799999999</v>
      </c>
      <c r="AC46" s="144"/>
      <c r="AD46" s="205">
        <f t="shared" si="59"/>
        <v>1875.8459999999905</v>
      </c>
      <c r="AE46" s="179">
        <f t="shared" si="60"/>
        <v>2.6063385187517839E-2</v>
      </c>
      <c r="AF46" s="182">
        <f>SUM(AD42:AD46)/SUM(P42:P46)</f>
        <v>2.8360867450444128E-2</v>
      </c>
      <c r="AG46" s="144"/>
      <c r="AH46" s="205">
        <v>51668</v>
      </c>
      <c r="AI46" s="204">
        <f t="shared" si="23"/>
        <v>6890</v>
      </c>
      <c r="AJ46" s="204">
        <v>0</v>
      </c>
      <c r="AK46" s="127">
        <f t="shared" si="24"/>
        <v>58558</v>
      </c>
      <c r="AL46" s="204">
        <f t="shared" si="25"/>
        <v>7224.7140000000009</v>
      </c>
      <c r="AM46" s="204">
        <f t="shared" si="26"/>
        <v>8666.5839999999989</v>
      </c>
      <c r="AN46" s="128">
        <f t="shared" si="27"/>
        <v>74449.29800000001</v>
      </c>
      <c r="AO46" s="144"/>
      <c r="AP46" s="205">
        <f t="shared" si="61"/>
        <v>600.99000000001979</v>
      </c>
      <c r="AQ46" s="179">
        <f t="shared" si="62"/>
        <v>8.1381688528330241E-3</v>
      </c>
      <c r="AR46" s="182">
        <f>SUM(AP42:AP46)/SUM(AB42:AB46)</f>
        <v>1.2000485823896768E-2</v>
      </c>
      <c r="AS46" s="144"/>
      <c r="AT46" s="205">
        <v>53219</v>
      </c>
      <c r="AU46" s="204">
        <f t="shared" si="47"/>
        <v>7097</v>
      </c>
      <c r="AV46" s="204">
        <v>0</v>
      </c>
      <c r="AW46" s="127">
        <f t="shared" si="30"/>
        <v>60316</v>
      </c>
      <c r="AX46" s="204">
        <f t="shared" si="48"/>
        <v>7103.688000000001</v>
      </c>
      <c r="AY46" s="204">
        <f t="shared" si="32"/>
        <v>8944.862799999999</v>
      </c>
      <c r="AZ46" s="128">
        <f t="shared" si="33"/>
        <v>76364.550799999997</v>
      </c>
      <c r="BA46" s="144"/>
      <c r="BB46" s="205">
        <f t="shared" si="34"/>
        <v>1915.2527999999875</v>
      </c>
      <c r="BC46" s="179">
        <f t="shared" si="35"/>
        <v>2.5725599185636206E-2</v>
      </c>
      <c r="BD46" s="182" t="e">
        <f>SUM(BB42:BB46)/SUM(AN42:AN46)</f>
        <v>#REF!</v>
      </c>
      <c r="BE46" s="207">
        <f t="shared" si="49"/>
        <v>1400</v>
      </c>
      <c r="BF46" s="284">
        <f t="shared" si="63"/>
        <v>54619</v>
      </c>
      <c r="BG46" s="204">
        <f t="shared" si="51"/>
        <v>7377</v>
      </c>
      <c r="BH46" s="204">
        <v>0</v>
      </c>
      <c r="BI46" s="127">
        <f t="shared" si="36"/>
        <v>61996</v>
      </c>
      <c r="BJ46" s="204">
        <f t="shared" si="52"/>
        <v>7960.8480000000009</v>
      </c>
      <c r="BK46" s="204">
        <f t="shared" si="37"/>
        <v>9503.9867999999988</v>
      </c>
      <c r="BL46" s="128">
        <f t="shared" si="38"/>
        <v>79460.834799999997</v>
      </c>
      <c r="BM46" s="144"/>
      <c r="BN46" s="205">
        <f t="shared" si="39"/>
        <v>3096.2839999999997</v>
      </c>
      <c r="BO46" s="179">
        <f t="shared" si="40"/>
        <v>4.0546090660694353E-2</v>
      </c>
      <c r="BP46" s="182" t="e">
        <f>SUM(BN42:BN46)/SUM(AZ42:AZ46)</f>
        <v>#REF!</v>
      </c>
      <c r="BR46" s="290">
        <v>57349</v>
      </c>
      <c r="BS46" s="204">
        <f t="shared" si="53"/>
        <v>7745.85</v>
      </c>
      <c r="BT46" s="204">
        <v>0</v>
      </c>
      <c r="BU46" s="127">
        <f t="shared" si="41"/>
        <v>65094.85</v>
      </c>
      <c r="BV46" s="204">
        <f t="shared" si="54"/>
        <v>7727.2893000000004</v>
      </c>
      <c r="BW46" s="204">
        <f t="shared" si="42"/>
        <v>9979.040504999999</v>
      </c>
      <c r="BX46" s="128">
        <f t="shared" si="43"/>
        <v>82801.179804999992</v>
      </c>
      <c r="BY46" s="291">
        <f t="shared" si="56"/>
        <v>0.2720081512592778</v>
      </c>
      <c r="BZ46" s="205">
        <f t="shared" si="45"/>
        <v>3340.3450049999956</v>
      </c>
      <c r="CA46" s="179">
        <f t="shared" si="46"/>
        <v>4.203762788809759E-2</v>
      </c>
      <c r="CB46" s="182" t="e">
        <f>SUM(BZ42:BZ46)/SUM(BL42:BL46)</f>
        <v>#REF!</v>
      </c>
      <c r="CD46" s="198" t="s">
        <v>18</v>
      </c>
      <c r="CE46" s="308" t="s">
        <v>342</v>
      </c>
      <c r="CF46" s="312" t="s">
        <v>375</v>
      </c>
      <c r="CG46" s="309" t="s">
        <v>360</v>
      </c>
      <c r="CH46" s="311">
        <v>61713.06</v>
      </c>
      <c r="CI46" s="311">
        <v>8335.44</v>
      </c>
      <c r="CJ46" s="317">
        <v>70048.5</v>
      </c>
      <c r="CK46" s="323">
        <f>+(CJ46-$CJ$10)*($CJ$8-$CJ$9)</f>
        <v>9757.2749999999996</v>
      </c>
      <c r="CL46" s="319">
        <f>+(CH46+CI46)*$CL$13</f>
        <v>10423.216799999998</v>
      </c>
      <c r="CM46" s="319">
        <f>SUM(CJ46:CL46)*$CM$8</f>
        <v>0</v>
      </c>
      <c r="CN46" s="324">
        <f t="shared" si="55"/>
        <v>90228.991799999989</v>
      </c>
    </row>
    <row r="47" spans="1:92" ht="12.75" customHeight="1">
      <c r="A47" s="144"/>
      <c r="B47" s="196" t="s">
        <v>19</v>
      </c>
      <c r="C47" s="197" t="s">
        <v>99</v>
      </c>
      <c r="D47" s="200">
        <v>47091.25</v>
      </c>
      <c r="E47" s="200">
        <f t="shared" si="4"/>
        <v>6469</v>
      </c>
      <c r="F47" s="124">
        <f t="shared" si="57"/>
        <v>53560.25</v>
      </c>
      <c r="G47" s="200">
        <f t="shared" si="6"/>
        <v>6559.8645000000006</v>
      </c>
      <c r="H47" s="200">
        <f t="shared" si="7"/>
        <v>7926.9169999999995</v>
      </c>
      <c r="I47" s="125">
        <f t="shared" si="8"/>
        <v>68047.031499999997</v>
      </c>
      <c r="J47" s="144"/>
      <c r="K47" s="201">
        <v>49242</v>
      </c>
      <c r="L47" s="200">
        <f t="shared" si="9"/>
        <v>6663</v>
      </c>
      <c r="M47" s="124">
        <f t="shared" si="58"/>
        <v>55905</v>
      </c>
      <c r="N47" s="200">
        <f t="shared" si="11"/>
        <v>6858.6</v>
      </c>
      <c r="O47" s="200">
        <f t="shared" si="12"/>
        <v>8273.9399999999987</v>
      </c>
      <c r="P47" s="125">
        <f t="shared" si="13"/>
        <v>71037.539999999994</v>
      </c>
      <c r="Q47" s="144"/>
      <c r="R47" s="201">
        <f t="shared" si="14"/>
        <v>2990.5084999999963</v>
      </c>
      <c r="S47" s="178">
        <f t="shared" si="15"/>
        <v>4.3947670222763448E-2</v>
      </c>
      <c r="T47" s="181"/>
      <c r="U47" s="144"/>
      <c r="V47" s="201">
        <v>52306</v>
      </c>
      <c r="W47" s="200">
        <f t="shared" si="16"/>
        <v>6777</v>
      </c>
      <c r="X47" s="200">
        <v>0</v>
      </c>
      <c r="Y47" s="124">
        <f t="shared" si="17"/>
        <v>59083</v>
      </c>
      <c r="Z47" s="200">
        <f t="shared" si="18"/>
        <v>7297.1640000000007</v>
      </c>
      <c r="AA47" s="200">
        <f t="shared" si="19"/>
        <v>8744.2839999999997</v>
      </c>
      <c r="AB47" s="125">
        <f t="shared" si="20"/>
        <v>75124.448000000004</v>
      </c>
      <c r="AC47" s="144"/>
      <c r="AD47" s="201">
        <f t="shared" si="59"/>
        <v>4086.9080000000104</v>
      </c>
      <c r="AE47" s="178">
        <f t="shared" si="60"/>
        <v>5.7531665651710501E-2</v>
      </c>
      <c r="AF47" s="181"/>
      <c r="AG47" s="144"/>
      <c r="AH47" s="201">
        <v>53168</v>
      </c>
      <c r="AI47" s="200">
        <f t="shared" si="23"/>
        <v>6890</v>
      </c>
      <c r="AJ47" s="200">
        <v>0</v>
      </c>
      <c r="AK47" s="124">
        <f t="shared" si="24"/>
        <v>60058</v>
      </c>
      <c r="AL47" s="200">
        <f t="shared" si="25"/>
        <v>7431.7140000000009</v>
      </c>
      <c r="AM47" s="200">
        <f t="shared" si="26"/>
        <v>8888.5839999999989</v>
      </c>
      <c r="AN47" s="125">
        <f t="shared" si="27"/>
        <v>76378.29800000001</v>
      </c>
      <c r="AO47" s="144"/>
      <c r="AP47" s="201">
        <f t="shared" si="61"/>
        <v>1253.8500000000058</v>
      </c>
      <c r="AQ47" s="178">
        <f t="shared" si="62"/>
        <v>1.6690305664542198E-2</v>
      </c>
      <c r="AR47" s="181"/>
      <c r="AS47" s="144"/>
      <c r="AT47" s="201">
        <v>54764</v>
      </c>
      <c r="AU47" s="200">
        <f t="shared" si="47"/>
        <v>7097</v>
      </c>
      <c r="AV47" s="200">
        <v>0</v>
      </c>
      <c r="AW47" s="124">
        <f t="shared" si="30"/>
        <v>61861</v>
      </c>
      <c r="AX47" s="200">
        <f t="shared" si="48"/>
        <v>7316.898000000001</v>
      </c>
      <c r="AY47" s="200">
        <f t="shared" si="32"/>
        <v>9173.9862999999987</v>
      </c>
      <c r="AZ47" s="125">
        <f t="shared" si="33"/>
        <v>78351.884300000005</v>
      </c>
      <c r="BA47" s="144"/>
      <c r="BB47" s="201">
        <f t="shared" si="34"/>
        <v>1973.5862999999954</v>
      </c>
      <c r="BC47" s="178">
        <f t="shared" si="35"/>
        <v>2.5839621354222835E-2</v>
      </c>
      <c r="BD47" s="181"/>
      <c r="BE47" s="207">
        <f t="shared" si="49"/>
        <v>1400</v>
      </c>
      <c r="BF47" s="283">
        <f t="shared" si="63"/>
        <v>56164</v>
      </c>
      <c r="BG47" s="200">
        <f t="shared" si="51"/>
        <v>7377</v>
      </c>
      <c r="BH47" s="200">
        <v>0</v>
      </c>
      <c r="BI47" s="124">
        <f t="shared" si="36"/>
        <v>63541</v>
      </c>
      <c r="BJ47" s="200">
        <f t="shared" si="52"/>
        <v>8193.3705000000009</v>
      </c>
      <c r="BK47" s="200">
        <f t="shared" si="37"/>
        <v>9740.8352999999988</v>
      </c>
      <c r="BL47" s="125">
        <f t="shared" si="38"/>
        <v>81475.205799999996</v>
      </c>
      <c r="BM47" s="144"/>
      <c r="BN47" s="201">
        <f t="shared" si="39"/>
        <v>3123.3214999999909</v>
      </c>
      <c r="BO47" s="178">
        <f t="shared" si="40"/>
        <v>3.9862749031550612E-2</v>
      </c>
      <c r="BP47" s="181"/>
      <c r="BR47" s="288">
        <v>58972</v>
      </c>
      <c r="BS47" s="200">
        <f t="shared" si="53"/>
        <v>7745.85</v>
      </c>
      <c r="BT47" s="200">
        <v>0</v>
      </c>
      <c r="BU47" s="124">
        <f t="shared" si="41"/>
        <v>66717.850000000006</v>
      </c>
      <c r="BV47" s="200">
        <f t="shared" si="54"/>
        <v>7951.2633000000014</v>
      </c>
      <c r="BW47" s="200">
        <f t="shared" si="42"/>
        <v>10227.846405</v>
      </c>
      <c r="BX47" s="125">
        <f t="shared" si="43"/>
        <v>84896.959705000016</v>
      </c>
      <c r="BY47" s="291">
        <f t="shared" si="56"/>
        <v>0.27247745101198562</v>
      </c>
      <c r="BZ47" s="201">
        <f t="shared" si="45"/>
        <v>3421.7539050000196</v>
      </c>
      <c r="CA47" s="178">
        <f t="shared" si="46"/>
        <v>4.1997487105457788E-2</v>
      </c>
      <c r="CB47" s="181"/>
      <c r="CD47" s="196" t="s">
        <v>19</v>
      </c>
      <c r="CE47" s="304" t="s">
        <v>336</v>
      </c>
      <c r="CF47" s="305" t="s">
        <v>376</v>
      </c>
      <c r="CG47" s="305" t="s">
        <v>346</v>
      </c>
      <c r="CH47" s="307">
        <v>63459.3</v>
      </c>
      <c r="CI47" s="307">
        <v>8335.44</v>
      </c>
      <c r="CJ47" s="316">
        <v>71794.740000000005</v>
      </c>
      <c r="CK47" s="320">
        <f>+(CJ47-$CJ$10)*($CJ$8-$CJ$9)</f>
        <v>10019.211000000001</v>
      </c>
      <c r="CL47" s="321">
        <f>+(CH47+CI47)*$CL$13</f>
        <v>10683.057311999999</v>
      </c>
      <c r="CM47" s="321">
        <f>SUM(CJ47:CL47)*$CM$8</f>
        <v>0</v>
      </c>
      <c r="CN47" s="322">
        <f t="shared" si="55"/>
        <v>92497.008312000005</v>
      </c>
    </row>
    <row r="48" spans="1:92" ht="12.75" customHeight="1">
      <c r="A48" s="144"/>
      <c r="B48" s="149" t="s">
        <v>19</v>
      </c>
      <c r="C48" s="151" t="s">
        <v>100</v>
      </c>
      <c r="D48" s="202">
        <v>48514.340000000004</v>
      </c>
      <c r="E48" s="202">
        <f t="shared" si="4"/>
        <v>6469</v>
      </c>
      <c r="F48" s="129">
        <f t="shared" si="57"/>
        <v>54983.340000000004</v>
      </c>
      <c r="G48" s="202">
        <f t="shared" si="6"/>
        <v>6756.2509200000013</v>
      </c>
      <c r="H48" s="202">
        <f t="shared" si="7"/>
        <v>8137.5343199999998</v>
      </c>
      <c r="I48" s="130">
        <f t="shared" si="8"/>
        <v>69877.125240000008</v>
      </c>
      <c r="J48" s="144"/>
      <c r="K48" s="203">
        <v>49242</v>
      </c>
      <c r="L48" s="202">
        <f t="shared" si="9"/>
        <v>6663</v>
      </c>
      <c r="M48" s="129">
        <f t="shared" si="58"/>
        <v>55905</v>
      </c>
      <c r="N48" s="202">
        <f t="shared" si="11"/>
        <v>6858.6</v>
      </c>
      <c r="O48" s="202">
        <f t="shared" si="12"/>
        <v>8273.9399999999987</v>
      </c>
      <c r="P48" s="130">
        <f t="shared" si="13"/>
        <v>71037.539999999994</v>
      </c>
      <c r="Q48" s="144"/>
      <c r="R48" s="203">
        <f t="shared" si="14"/>
        <v>1160.4147599999851</v>
      </c>
      <c r="S48" s="180">
        <f t="shared" si="15"/>
        <v>1.6606504002768058E-2</v>
      </c>
      <c r="T48" s="183"/>
      <c r="U48" s="144"/>
      <c r="V48" s="203">
        <v>52306</v>
      </c>
      <c r="W48" s="202">
        <f t="shared" si="16"/>
        <v>6777</v>
      </c>
      <c r="X48" s="202">
        <v>0</v>
      </c>
      <c r="Y48" s="129">
        <f t="shared" si="17"/>
        <v>59083</v>
      </c>
      <c r="Z48" s="202">
        <f t="shared" si="18"/>
        <v>7297.1640000000007</v>
      </c>
      <c r="AA48" s="202">
        <f t="shared" si="19"/>
        <v>8744.2839999999997</v>
      </c>
      <c r="AB48" s="130">
        <f t="shared" si="20"/>
        <v>75124.448000000004</v>
      </c>
      <c r="AC48" s="144"/>
      <c r="AD48" s="203">
        <f t="shared" si="59"/>
        <v>4086.9080000000104</v>
      </c>
      <c r="AE48" s="180">
        <f t="shared" si="60"/>
        <v>5.7531665651710501E-2</v>
      </c>
      <c r="AF48" s="183"/>
      <c r="AG48" s="144"/>
      <c r="AH48" s="203">
        <v>53168</v>
      </c>
      <c r="AI48" s="202">
        <f t="shared" si="23"/>
        <v>6890</v>
      </c>
      <c r="AJ48" s="202">
        <v>0</v>
      </c>
      <c r="AK48" s="129">
        <f t="shared" si="24"/>
        <v>60058</v>
      </c>
      <c r="AL48" s="202">
        <f t="shared" si="25"/>
        <v>7431.7140000000009</v>
      </c>
      <c r="AM48" s="202">
        <f t="shared" si="26"/>
        <v>8888.5839999999989</v>
      </c>
      <c r="AN48" s="130">
        <f t="shared" si="27"/>
        <v>76378.29800000001</v>
      </c>
      <c r="AO48" s="144"/>
      <c r="AP48" s="203">
        <f t="shared" si="61"/>
        <v>1253.8500000000058</v>
      </c>
      <c r="AQ48" s="180">
        <f t="shared" si="62"/>
        <v>1.6690305664542198E-2</v>
      </c>
      <c r="AR48" s="183"/>
      <c r="AS48" s="144"/>
      <c r="AT48" s="203">
        <f>AT47</f>
        <v>54764</v>
      </c>
      <c r="AU48" s="202">
        <f t="shared" si="47"/>
        <v>7097</v>
      </c>
      <c r="AV48" s="202">
        <v>0</v>
      </c>
      <c r="AW48" s="129">
        <f t="shared" si="30"/>
        <v>61861</v>
      </c>
      <c r="AX48" s="202">
        <f t="shared" si="48"/>
        <v>7316.898000000001</v>
      </c>
      <c r="AY48" s="202">
        <f t="shared" si="32"/>
        <v>9173.9862999999987</v>
      </c>
      <c r="AZ48" s="130">
        <f t="shared" si="33"/>
        <v>78351.884300000005</v>
      </c>
      <c r="BA48" s="144"/>
      <c r="BB48" s="203">
        <f t="shared" si="34"/>
        <v>1973.5862999999954</v>
      </c>
      <c r="BC48" s="180">
        <f t="shared" si="35"/>
        <v>2.5839621354222835E-2</v>
      </c>
      <c r="BD48" s="183"/>
      <c r="BE48" s="207">
        <f t="shared" si="49"/>
        <v>1400</v>
      </c>
      <c r="BF48" s="206">
        <f t="shared" si="63"/>
        <v>56164</v>
      </c>
      <c r="BG48" s="202">
        <f t="shared" si="51"/>
        <v>7377</v>
      </c>
      <c r="BH48" s="202">
        <v>0</v>
      </c>
      <c r="BI48" s="129">
        <f t="shared" si="36"/>
        <v>63541</v>
      </c>
      <c r="BJ48" s="202">
        <f t="shared" si="52"/>
        <v>8193.3705000000009</v>
      </c>
      <c r="BK48" s="202">
        <f t="shared" si="37"/>
        <v>9740.8352999999988</v>
      </c>
      <c r="BL48" s="130">
        <f t="shared" si="38"/>
        <v>81475.205799999996</v>
      </c>
      <c r="BM48" s="144"/>
      <c r="BN48" s="203">
        <f t="shared" si="39"/>
        <v>3123.3214999999909</v>
      </c>
      <c r="BO48" s="180">
        <f t="shared" si="40"/>
        <v>3.9862749031550612E-2</v>
      </c>
      <c r="BP48" s="183"/>
      <c r="BR48" s="289">
        <f t="shared" ref="BR48:BR50" si="65">BR47</f>
        <v>58972</v>
      </c>
      <c r="BS48" s="202">
        <f t="shared" si="53"/>
        <v>7745.85</v>
      </c>
      <c r="BT48" s="202">
        <v>0</v>
      </c>
      <c r="BU48" s="129">
        <f t="shared" si="41"/>
        <v>66717.850000000006</v>
      </c>
      <c r="BV48" s="202">
        <f t="shared" si="54"/>
        <v>7951.2633000000014</v>
      </c>
      <c r="BW48" s="202">
        <f t="shared" si="42"/>
        <v>10227.846405</v>
      </c>
      <c r="BX48" s="130">
        <f t="shared" si="43"/>
        <v>84896.959705000016</v>
      </c>
      <c r="BY48" s="291">
        <f t="shared" si="56"/>
        <v>0.27247745101198562</v>
      </c>
      <c r="BZ48" s="203">
        <f t="shared" si="45"/>
        <v>3421.7539050000196</v>
      </c>
      <c r="CA48" s="180">
        <f t="shared" si="46"/>
        <v>4.1997487105457788E-2</v>
      </c>
      <c r="CB48" s="183"/>
      <c r="CD48" s="149" t="s">
        <v>19</v>
      </c>
      <c r="CE48" s="301" t="s">
        <v>354</v>
      </c>
      <c r="CF48" s="298" t="s">
        <v>377</v>
      </c>
      <c r="CG48" s="299" t="s">
        <v>341</v>
      </c>
      <c r="CH48" s="303">
        <v>66413.22</v>
      </c>
      <c r="CI48" s="300">
        <v>8335.44</v>
      </c>
      <c r="CJ48" s="318">
        <v>74748.66</v>
      </c>
      <c r="CK48" s="323">
        <f>+(CJ48-$CJ$10)*($CJ$8-$CJ$9)</f>
        <v>10462.299000000001</v>
      </c>
      <c r="CL48" s="319">
        <f>+(CH48+CI48)*$CL$13</f>
        <v>11122.600607999999</v>
      </c>
      <c r="CM48" s="319">
        <f>SUM(CJ48:CL48)*$CM$8</f>
        <v>0</v>
      </c>
      <c r="CN48" s="324">
        <f t="shared" si="55"/>
        <v>96333.559607999996</v>
      </c>
    </row>
    <row r="49" spans="1:92" ht="13.5" customHeight="1">
      <c r="A49" s="144"/>
      <c r="B49" s="149" t="s">
        <v>19</v>
      </c>
      <c r="C49" s="151" t="s">
        <v>101</v>
      </c>
      <c r="D49" s="202">
        <v>53817.85</v>
      </c>
      <c r="E49" s="202">
        <f t="shared" si="4"/>
        <v>6469</v>
      </c>
      <c r="F49" s="129">
        <f t="shared" si="57"/>
        <v>60286.85</v>
      </c>
      <c r="G49" s="202">
        <f t="shared" si="6"/>
        <v>7488.1353000000008</v>
      </c>
      <c r="H49" s="202">
        <f t="shared" si="7"/>
        <v>8922.4537999999993</v>
      </c>
      <c r="I49" s="130">
        <f t="shared" si="8"/>
        <v>76697.439100000003</v>
      </c>
      <c r="J49" s="144"/>
      <c r="K49" s="203">
        <v>54625</v>
      </c>
      <c r="L49" s="202">
        <f t="shared" si="9"/>
        <v>6663</v>
      </c>
      <c r="M49" s="129">
        <f t="shared" si="58"/>
        <v>61288</v>
      </c>
      <c r="N49" s="202">
        <f t="shared" si="11"/>
        <v>7601.4540000000006</v>
      </c>
      <c r="O49" s="202">
        <f t="shared" si="12"/>
        <v>9070.6239999999998</v>
      </c>
      <c r="P49" s="130">
        <f t="shared" si="13"/>
        <v>77960.077999999994</v>
      </c>
      <c r="Q49" s="144"/>
      <c r="R49" s="203">
        <f t="shared" si="14"/>
        <v>1262.6388999999908</v>
      </c>
      <c r="S49" s="180">
        <f t="shared" si="15"/>
        <v>1.6462595294136632E-2</v>
      </c>
      <c r="T49" s="183"/>
      <c r="U49" s="144"/>
      <c r="V49" s="203">
        <v>55226</v>
      </c>
      <c r="W49" s="202">
        <f t="shared" si="16"/>
        <v>6777</v>
      </c>
      <c r="X49" s="202">
        <v>0</v>
      </c>
      <c r="Y49" s="129">
        <f t="shared" si="17"/>
        <v>62003</v>
      </c>
      <c r="Z49" s="202">
        <f t="shared" si="18"/>
        <v>7700.1240000000007</v>
      </c>
      <c r="AA49" s="202">
        <f t="shared" si="19"/>
        <v>9176.4439999999995</v>
      </c>
      <c r="AB49" s="130">
        <f t="shared" si="20"/>
        <v>78879.567999999999</v>
      </c>
      <c r="AC49" s="144"/>
      <c r="AD49" s="203">
        <f t="shared" si="59"/>
        <v>919.49000000000524</v>
      </c>
      <c r="AE49" s="180">
        <f t="shared" si="60"/>
        <v>1.1794369933801315E-2</v>
      </c>
      <c r="AF49" s="183"/>
      <c r="AG49" s="144"/>
      <c r="AH49" s="206">
        <v>53168</v>
      </c>
      <c r="AI49" s="202">
        <f t="shared" si="23"/>
        <v>6890</v>
      </c>
      <c r="AJ49" s="202">
        <v>2282</v>
      </c>
      <c r="AK49" s="129">
        <f t="shared" si="24"/>
        <v>62340</v>
      </c>
      <c r="AL49" s="202">
        <f t="shared" si="25"/>
        <v>7746.630000000001</v>
      </c>
      <c r="AM49" s="202">
        <f t="shared" si="26"/>
        <v>8888.5839999999989</v>
      </c>
      <c r="AN49" s="130">
        <f t="shared" si="27"/>
        <v>78975.214000000007</v>
      </c>
      <c r="AO49" s="144"/>
      <c r="AP49" s="203">
        <f t="shared" si="61"/>
        <v>95.646000000007916</v>
      </c>
      <c r="AQ49" s="180">
        <f t="shared" si="62"/>
        <v>1.2125573507198711E-3</v>
      </c>
      <c r="AR49" s="183"/>
      <c r="AS49" s="144"/>
      <c r="AT49" s="203" t="e">
        <f>#REF!</f>
        <v>#REF!</v>
      </c>
      <c r="AU49" s="202" t="e">
        <f t="shared" si="47"/>
        <v>#REF!</v>
      </c>
      <c r="AV49" s="202">
        <v>2282</v>
      </c>
      <c r="AW49" s="129" t="e">
        <f t="shared" si="30"/>
        <v>#REF!</v>
      </c>
      <c r="AX49" s="202" t="e">
        <f t="shared" si="48"/>
        <v>#REF!</v>
      </c>
      <c r="AY49" s="202" t="e">
        <f t="shared" si="32"/>
        <v>#REF!</v>
      </c>
      <c r="AZ49" s="130" t="e">
        <f t="shared" si="33"/>
        <v>#REF!</v>
      </c>
      <c r="BA49" s="144"/>
      <c r="BB49" s="203" t="e">
        <f t="shared" si="34"/>
        <v>#REF!</v>
      </c>
      <c r="BC49" s="180" t="e">
        <f t="shared" si="35"/>
        <v>#REF!</v>
      </c>
      <c r="BD49" s="183"/>
      <c r="BE49" s="207" t="e">
        <f t="shared" si="49"/>
        <v>#REF!</v>
      </c>
      <c r="BF49" s="206" t="e">
        <f t="shared" si="63"/>
        <v>#REF!</v>
      </c>
      <c r="BG49" s="202" t="e">
        <f t="shared" si="51"/>
        <v>#REF!</v>
      </c>
      <c r="BH49" s="202">
        <v>2282</v>
      </c>
      <c r="BI49" s="129" t="e">
        <f t="shared" si="36"/>
        <v>#REF!</v>
      </c>
      <c r="BJ49" s="202" t="e">
        <f t="shared" si="52"/>
        <v>#REF!</v>
      </c>
      <c r="BK49" s="202" t="e">
        <f t="shared" si="37"/>
        <v>#REF!</v>
      </c>
      <c r="BL49" s="130" t="e">
        <f t="shared" si="38"/>
        <v>#REF!</v>
      </c>
      <c r="BM49" s="144"/>
      <c r="BN49" s="203" t="e">
        <f t="shared" si="39"/>
        <v>#REF!</v>
      </c>
      <c r="BO49" s="180" t="e">
        <f t="shared" si="40"/>
        <v>#REF!</v>
      </c>
      <c r="BP49" s="183"/>
      <c r="BR49" s="289" t="e">
        <f>#REF!</f>
        <v>#REF!</v>
      </c>
      <c r="BS49" s="202" t="e">
        <f t="shared" si="53"/>
        <v>#REF!</v>
      </c>
      <c r="BT49" s="202">
        <v>2282</v>
      </c>
      <c r="BU49" s="129" t="e">
        <f t="shared" si="41"/>
        <v>#REF!</v>
      </c>
      <c r="BV49" s="202" t="e">
        <f t="shared" si="54"/>
        <v>#REF!</v>
      </c>
      <c r="BW49" s="202" t="e">
        <f t="shared" si="42"/>
        <v>#REF!</v>
      </c>
      <c r="BX49" s="130" t="e">
        <f t="shared" si="43"/>
        <v>#REF!</v>
      </c>
      <c r="BY49" s="291" t="e">
        <f t="shared" si="56"/>
        <v>#REF!</v>
      </c>
      <c r="BZ49" s="203" t="e">
        <f t="shared" si="45"/>
        <v>#REF!</v>
      </c>
      <c r="CA49" s="180" t="e">
        <f t="shared" si="46"/>
        <v>#REF!</v>
      </c>
      <c r="CB49" s="183"/>
      <c r="CD49" s="149" t="s">
        <v>19</v>
      </c>
      <c r="CE49" s="301" t="s">
        <v>339</v>
      </c>
      <c r="CF49" s="298" t="s">
        <v>378</v>
      </c>
      <c r="CG49" s="299" t="s">
        <v>350</v>
      </c>
      <c r="CH49" s="303">
        <v>69885.3</v>
      </c>
      <c r="CI49" s="300">
        <v>8335.44</v>
      </c>
      <c r="CJ49" s="318">
        <v>78220.740000000005</v>
      </c>
      <c r="CK49" s="323">
        <f>+(CJ49-$CJ$10)*($CJ$8-$CJ$9)</f>
        <v>10983.111000000001</v>
      </c>
      <c r="CL49" s="319">
        <f>+(CH49+CI49)*$CL$13</f>
        <v>11639.246112000001</v>
      </c>
      <c r="CM49" s="319">
        <f>SUM(CJ49:CL49)*$CM$8</f>
        <v>0</v>
      </c>
      <c r="CN49" s="324">
        <f t="shared" si="55"/>
        <v>100843.09711200002</v>
      </c>
    </row>
    <row r="50" spans="1:92" ht="12.75" customHeight="1">
      <c r="A50" s="144"/>
      <c r="B50" s="149" t="s">
        <v>19</v>
      </c>
      <c r="C50" s="151" t="s">
        <v>102</v>
      </c>
      <c r="D50" s="202">
        <v>56665.04</v>
      </c>
      <c r="E50" s="202">
        <f t="shared" si="4"/>
        <v>6469</v>
      </c>
      <c r="F50" s="129">
        <f t="shared" si="57"/>
        <v>63134.04</v>
      </c>
      <c r="G50" s="202">
        <f t="shared" si="6"/>
        <v>7881.047520000001</v>
      </c>
      <c r="H50" s="202">
        <f t="shared" si="7"/>
        <v>9343.8379199999999</v>
      </c>
      <c r="I50" s="130">
        <f t="shared" si="8"/>
        <v>80358.925440000006</v>
      </c>
      <c r="J50" s="144"/>
      <c r="K50" s="203">
        <v>57515</v>
      </c>
      <c r="L50" s="202">
        <f t="shared" si="9"/>
        <v>6663</v>
      </c>
      <c r="M50" s="129">
        <f t="shared" si="58"/>
        <v>64178</v>
      </c>
      <c r="N50" s="202">
        <f t="shared" si="11"/>
        <v>8000.2740000000003</v>
      </c>
      <c r="O50" s="202">
        <f t="shared" si="12"/>
        <v>9498.3439999999991</v>
      </c>
      <c r="P50" s="130">
        <f t="shared" si="13"/>
        <v>81676.618000000002</v>
      </c>
      <c r="Q50" s="144"/>
      <c r="R50" s="203">
        <f t="shared" si="14"/>
        <v>1317.6925599999959</v>
      </c>
      <c r="S50" s="180">
        <f t="shared" si="15"/>
        <v>1.6397588105926716E-2</v>
      </c>
      <c r="T50" s="183"/>
      <c r="U50" s="144"/>
      <c r="V50" s="203">
        <v>58148</v>
      </c>
      <c r="W50" s="202">
        <f t="shared" si="16"/>
        <v>6777</v>
      </c>
      <c r="X50" s="202">
        <v>0</v>
      </c>
      <c r="Y50" s="129">
        <f t="shared" si="17"/>
        <v>64925</v>
      </c>
      <c r="Z50" s="202">
        <f t="shared" si="18"/>
        <v>8103.3600000000006</v>
      </c>
      <c r="AA50" s="202">
        <f t="shared" si="19"/>
        <v>9608.9</v>
      </c>
      <c r="AB50" s="130">
        <f t="shared" si="20"/>
        <v>82637.259999999995</v>
      </c>
      <c r="AC50" s="144"/>
      <c r="AD50" s="203">
        <f t="shared" si="59"/>
        <v>960.64199999999255</v>
      </c>
      <c r="AE50" s="180">
        <f t="shared" si="60"/>
        <v>1.1761530086860263E-2</v>
      </c>
      <c r="AF50" s="183"/>
      <c r="AG50" s="144"/>
      <c r="AH50" s="206">
        <v>53168</v>
      </c>
      <c r="AI50" s="202">
        <f t="shared" si="23"/>
        <v>6890</v>
      </c>
      <c r="AJ50" s="202">
        <v>5215</v>
      </c>
      <c r="AK50" s="129">
        <f t="shared" si="24"/>
        <v>65273</v>
      </c>
      <c r="AL50" s="202">
        <f t="shared" si="25"/>
        <v>8151.3840000000009</v>
      </c>
      <c r="AM50" s="202">
        <f t="shared" si="26"/>
        <v>8888.5839999999989</v>
      </c>
      <c r="AN50" s="130">
        <f t="shared" si="27"/>
        <v>82312.968000000008</v>
      </c>
      <c r="AO50" s="144"/>
      <c r="AP50" s="203">
        <f t="shared" si="61"/>
        <v>-324.29199999998673</v>
      </c>
      <c r="AQ50" s="180">
        <f t="shared" si="62"/>
        <v>-3.9242830655322643E-3</v>
      </c>
      <c r="AR50" s="183"/>
      <c r="AS50" s="144"/>
      <c r="AT50" s="203" t="e">
        <f>AT49</f>
        <v>#REF!</v>
      </c>
      <c r="AU50" s="202" t="e">
        <f t="shared" si="47"/>
        <v>#REF!</v>
      </c>
      <c r="AV50" s="202">
        <v>5215</v>
      </c>
      <c r="AW50" s="129" t="e">
        <f t="shared" si="30"/>
        <v>#REF!</v>
      </c>
      <c r="AX50" s="202" t="e">
        <f t="shared" si="48"/>
        <v>#REF!</v>
      </c>
      <c r="AY50" s="202" t="e">
        <f t="shared" si="32"/>
        <v>#REF!</v>
      </c>
      <c r="AZ50" s="130" t="e">
        <f t="shared" si="33"/>
        <v>#REF!</v>
      </c>
      <c r="BA50" s="144"/>
      <c r="BB50" s="203" t="e">
        <f t="shared" si="34"/>
        <v>#REF!</v>
      </c>
      <c r="BC50" s="180" t="e">
        <f t="shared" si="35"/>
        <v>#REF!</v>
      </c>
      <c r="BD50" s="183"/>
      <c r="BE50" s="207" t="e">
        <f t="shared" si="49"/>
        <v>#REF!</v>
      </c>
      <c r="BF50" s="206" t="e">
        <f t="shared" si="63"/>
        <v>#REF!</v>
      </c>
      <c r="BG50" s="202" t="e">
        <f t="shared" si="51"/>
        <v>#REF!</v>
      </c>
      <c r="BH50" s="202">
        <v>5215</v>
      </c>
      <c r="BI50" s="129" t="e">
        <f t="shared" si="36"/>
        <v>#REF!</v>
      </c>
      <c r="BJ50" s="202" t="e">
        <f t="shared" si="52"/>
        <v>#REF!</v>
      </c>
      <c r="BK50" s="202" t="e">
        <f t="shared" si="37"/>
        <v>#REF!</v>
      </c>
      <c r="BL50" s="130" t="e">
        <f t="shared" si="38"/>
        <v>#REF!</v>
      </c>
      <c r="BM50" s="144"/>
      <c r="BN50" s="203" t="e">
        <f t="shared" si="39"/>
        <v>#REF!</v>
      </c>
      <c r="BO50" s="180" t="e">
        <f t="shared" si="40"/>
        <v>#REF!</v>
      </c>
      <c r="BP50" s="183"/>
      <c r="BR50" s="289" t="e">
        <f t="shared" si="65"/>
        <v>#REF!</v>
      </c>
      <c r="BS50" s="202" t="e">
        <f t="shared" si="53"/>
        <v>#REF!</v>
      </c>
      <c r="BT50" s="202">
        <v>5215</v>
      </c>
      <c r="BU50" s="129" t="e">
        <f t="shared" si="41"/>
        <v>#REF!</v>
      </c>
      <c r="BV50" s="202" t="e">
        <f t="shared" si="54"/>
        <v>#REF!</v>
      </c>
      <c r="BW50" s="202" t="e">
        <f t="shared" si="42"/>
        <v>#REF!</v>
      </c>
      <c r="BX50" s="130" t="e">
        <f t="shared" si="43"/>
        <v>#REF!</v>
      </c>
      <c r="BY50" s="291" t="e">
        <f t="shared" si="56"/>
        <v>#REF!</v>
      </c>
      <c r="BZ50" s="203" t="e">
        <f t="shared" si="45"/>
        <v>#REF!</v>
      </c>
      <c r="CA50" s="180" t="e">
        <f t="shared" si="46"/>
        <v>#REF!</v>
      </c>
      <c r="CB50" s="183"/>
      <c r="CD50" s="149" t="s">
        <v>19</v>
      </c>
      <c r="CE50" s="301" t="s">
        <v>348</v>
      </c>
      <c r="CF50" s="298" t="s">
        <v>379</v>
      </c>
      <c r="CG50" s="299" t="s">
        <v>358</v>
      </c>
      <c r="CH50" s="303">
        <v>70949.16</v>
      </c>
      <c r="CI50" s="300">
        <v>8335.44</v>
      </c>
      <c r="CJ50" s="318">
        <v>79284.600000000006</v>
      </c>
      <c r="CK50" s="323">
        <f>+(CJ50-$CJ$10)*($CJ$8-$CJ$9)</f>
        <v>11142.69</v>
      </c>
      <c r="CL50" s="319">
        <f>+(CH50+CI50)*$CL$13</f>
        <v>11797.548479999999</v>
      </c>
      <c r="CM50" s="319">
        <f>SUM(CJ50:CL50)*$CM$8</f>
        <v>0</v>
      </c>
      <c r="CN50" s="324">
        <f t="shared" si="55"/>
        <v>102224.83848000001</v>
      </c>
    </row>
    <row r="51" spans="1:92" ht="12.75" customHeight="1" thickBot="1">
      <c r="A51" s="144"/>
      <c r="B51" s="198" t="s">
        <v>19</v>
      </c>
      <c r="C51" s="199" t="s">
        <v>103</v>
      </c>
      <c r="D51" s="204">
        <v>58216.4</v>
      </c>
      <c r="E51" s="204">
        <f t="shared" si="4"/>
        <v>6469</v>
      </c>
      <c r="F51" s="127">
        <f t="shared" si="57"/>
        <v>64685.4</v>
      </c>
      <c r="G51" s="204">
        <f t="shared" si="6"/>
        <v>8095.1352000000006</v>
      </c>
      <c r="H51" s="204">
        <f t="shared" si="7"/>
        <v>9573.4391999999989</v>
      </c>
      <c r="I51" s="128">
        <f t="shared" si="8"/>
        <v>82353.974399999992</v>
      </c>
      <c r="J51" s="144"/>
      <c r="K51" s="205">
        <v>59964</v>
      </c>
      <c r="L51" s="204">
        <f t="shared" si="9"/>
        <v>6663</v>
      </c>
      <c r="M51" s="127">
        <f t="shared" si="58"/>
        <v>66627</v>
      </c>
      <c r="N51" s="204">
        <f t="shared" si="11"/>
        <v>8338.2360000000008</v>
      </c>
      <c r="O51" s="204">
        <f t="shared" si="12"/>
        <v>9860.7960000000003</v>
      </c>
      <c r="P51" s="128">
        <f t="shared" si="13"/>
        <v>84826.032000000007</v>
      </c>
      <c r="Q51" s="144"/>
      <c r="R51" s="205">
        <f t="shared" si="14"/>
        <v>2472.0576000000146</v>
      </c>
      <c r="S51" s="179">
        <f t="shared" si="15"/>
        <v>3.0017465678013652E-2</v>
      </c>
      <c r="T51" s="182">
        <f>SUM(R47:R51)/SUM(I47:I51)</f>
        <v>2.4390328542357512E-2</v>
      </c>
      <c r="U51" s="144"/>
      <c r="V51" s="205">
        <v>60983</v>
      </c>
      <c r="W51" s="204">
        <f t="shared" si="16"/>
        <v>6777</v>
      </c>
      <c r="X51" s="204">
        <v>671</v>
      </c>
      <c r="Y51" s="127">
        <f t="shared" si="17"/>
        <v>68431</v>
      </c>
      <c r="Z51" s="204">
        <f t="shared" si="18"/>
        <v>8587.1880000000001</v>
      </c>
      <c r="AA51" s="204">
        <f t="shared" si="19"/>
        <v>10028.48</v>
      </c>
      <c r="AB51" s="128">
        <f t="shared" si="20"/>
        <v>87046.667999999991</v>
      </c>
      <c r="AC51" s="144"/>
      <c r="AD51" s="205">
        <f t="shared" si="59"/>
        <v>2220.6359999999841</v>
      </c>
      <c r="AE51" s="179">
        <f t="shared" si="60"/>
        <v>2.6178708913320192E-2</v>
      </c>
      <c r="AF51" s="182">
        <f>SUM(AD47:AD51)/SUM(P47:P51)</f>
        <v>3.1755196376546953E-2</v>
      </c>
      <c r="AG51" s="144"/>
      <c r="AH51" s="205">
        <v>62001</v>
      </c>
      <c r="AI51" s="204">
        <f t="shared" si="23"/>
        <v>6890</v>
      </c>
      <c r="AJ51" s="204">
        <v>0</v>
      </c>
      <c r="AK51" s="127">
        <f t="shared" si="24"/>
        <v>68891</v>
      </c>
      <c r="AL51" s="204">
        <f t="shared" si="25"/>
        <v>8650.6680000000015</v>
      </c>
      <c r="AM51" s="204">
        <f t="shared" si="26"/>
        <v>10195.868</v>
      </c>
      <c r="AN51" s="128">
        <f t="shared" si="27"/>
        <v>87737.536000000007</v>
      </c>
      <c r="AO51" s="144"/>
      <c r="AP51" s="205">
        <f t="shared" si="61"/>
        <v>690.86800000001676</v>
      </c>
      <c r="AQ51" s="179">
        <f t="shared" si="62"/>
        <v>7.9367541098760586E-3</v>
      </c>
      <c r="AR51" s="182">
        <f>SUM(AP47:AP51)/SUM(AB47:AB51)</f>
        <v>7.4469150396912686E-3</v>
      </c>
      <c r="AS51" s="144"/>
      <c r="AT51" s="205">
        <v>63862</v>
      </c>
      <c r="AU51" s="204">
        <f t="shared" si="47"/>
        <v>7097</v>
      </c>
      <c r="AV51" s="204">
        <v>0</v>
      </c>
      <c r="AW51" s="127">
        <f t="shared" si="30"/>
        <v>70959</v>
      </c>
      <c r="AX51" s="204">
        <f t="shared" si="48"/>
        <v>8572.4220000000005</v>
      </c>
      <c r="AY51" s="204">
        <f t="shared" si="32"/>
        <v>10523.2197</v>
      </c>
      <c r="AZ51" s="128">
        <f t="shared" si="33"/>
        <v>90054.641700000007</v>
      </c>
      <c r="BA51" s="144"/>
      <c r="BB51" s="205">
        <f t="shared" si="34"/>
        <v>2317.1057000000001</v>
      </c>
      <c r="BC51" s="179">
        <f t="shared" si="35"/>
        <v>2.640951416734566E-2</v>
      </c>
      <c r="BD51" s="182" t="e">
        <f>SUM(BB47:BB51)/SUM(AN47:AN51)</f>
        <v>#REF!</v>
      </c>
      <c r="BE51" s="207">
        <f t="shared" si="49"/>
        <v>1400</v>
      </c>
      <c r="BF51" s="284">
        <f t="shared" si="63"/>
        <v>65262</v>
      </c>
      <c r="BG51" s="204">
        <f t="shared" si="51"/>
        <v>7377</v>
      </c>
      <c r="BH51" s="204">
        <v>0</v>
      </c>
      <c r="BI51" s="127">
        <f t="shared" si="36"/>
        <v>72639</v>
      </c>
      <c r="BJ51" s="204">
        <f t="shared" si="52"/>
        <v>9562.6195000000007</v>
      </c>
      <c r="BK51" s="204">
        <f t="shared" si="37"/>
        <v>11135.5587</v>
      </c>
      <c r="BL51" s="128">
        <f t="shared" si="38"/>
        <v>93337.178199999995</v>
      </c>
      <c r="BM51" s="144"/>
      <c r="BN51" s="205">
        <f t="shared" si="39"/>
        <v>3282.5364999999874</v>
      </c>
      <c r="BO51" s="179">
        <f t="shared" si="40"/>
        <v>3.6450497587177534E-2</v>
      </c>
      <c r="BP51" s="182" t="e">
        <f>SUM(BN47:BN51)/SUM(AZ47:AZ51)</f>
        <v>#REF!</v>
      </c>
      <c r="BR51" s="290">
        <v>68525</v>
      </c>
      <c r="BS51" s="204">
        <f t="shared" si="53"/>
        <v>7745.85</v>
      </c>
      <c r="BT51" s="204">
        <v>0</v>
      </c>
      <c r="BU51" s="127">
        <f t="shared" si="41"/>
        <v>76270.850000000006</v>
      </c>
      <c r="BV51" s="204">
        <f t="shared" si="54"/>
        <v>9269.5773000000008</v>
      </c>
      <c r="BW51" s="204">
        <f t="shared" si="42"/>
        <v>11692.321304999999</v>
      </c>
      <c r="BX51" s="128">
        <f t="shared" si="43"/>
        <v>97232.748605000015</v>
      </c>
      <c r="BY51" s="291">
        <f t="shared" si="56"/>
        <v>0.27483499403769596</v>
      </c>
      <c r="BZ51" s="205">
        <f t="shared" si="45"/>
        <v>3895.5704050000204</v>
      </c>
      <c r="CA51" s="179">
        <f t="shared" si="46"/>
        <v>4.1736535002726498E-2</v>
      </c>
      <c r="CB51" s="182" t="e">
        <f>SUM(BZ47:BZ51)/SUM(BL47:BL51)</f>
        <v>#REF!</v>
      </c>
      <c r="CD51" s="198" t="s">
        <v>19</v>
      </c>
      <c r="CE51" s="308" t="s">
        <v>342</v>
      </c>
      <c r="CF51" s="312" t="s">
        <v>380</v>
      </c>
      <c r="CG51" s="309" t="s">
        <v>360</v>
      </c>
      <c r="CH51" s="311">
        <v>73739.88</v>
      </c>
      <c r="CI51" s="311">
        <v>8335.44</v>
      </c>
      <c r="CJ51" s="317">
        <v>82075.320000000007</v>
      </c>
      <c r="CK51" s="325">
        <f>+(CJ51-$CJ$10)*($CJ$8-$CJ$9)</f>
        <v>11561.298000000001</v>
      </c>
      <c r="CL51" s="326">
        <f>+(CH51+CI51)*$CL$13</f>
        <v>12212.807616</v>
      </c>
      <c r="CM51" s="326">
        <f>SUM(CJ51:CL51)*$CM$8</f>
        <v>0</v>
      </c>
      <c r="CN51" s="327">
        <f t="shared" si="55"/>
        <v>105849.42561600001</v>
      </c>
    </row>
    <row r="52" spans="1:92" ht="12.75" customHeight="1">
      <c r="A52" s="144"/>
      <c r="B52" s="196" t="s">
        <v>20</v>
      </c>
      <c r="C52" s="197" t="s">
        <v>102</v>
      </c>
      <c r="D52" s="200">
        <v>56665.04</v>
      </c>
      <c r="E52" s="200">
        <f t="shared" si="4"/>
        <v>6469</v>
      </c>
      <c r="F52" s="124">
        <f t="shared" si="57"/>
        <v>63134.04</v>
      </c>
      <c r="G52" s="200">
        <f t="shared" si="6"/>
        <v>7881.047520000001</v>
      </c>
      <c r="H52" s="200">
        <f t="shared" si="7"/>
        <v>9343.8379199999999</v>
      </c>
      <c r="I52" s="125">
        <f t="shared" si="8"/>
        <v>80358.925440000006</v>
      </c>
      <c r="J52" s="144"/>
      <c r="K52" s="201">
        <v>59090</v>
      </c>
      <c r="L52" s="200">
        <f t="shared" si="9"/>
        <v>6663</v>
      </c>
      <c r="M52" s="124">
        <f t="shared" si="58"/>
        <v>65753</v>
      </c>
      <c r="N52" s="200">
        <f t="shared" si="11"/>
        <v>8217.6239999999998</v>
      </c>
      <c r="O52" s="200">
        <f t="shared" si="12"/>
        <v>9731.4439999999995</v>
      </c>
      <c r="P52" s="125">
        <f t="shared" si="13"/>
        <v>83702.067999999999</v>
      </c>
      <c r="Q52" s="144"/>
      <c r="R52" s="201">
        <f t="shared" si="14"/>
        <v>3343.142559999993</v>
      </c>
      <c r="S52" s="178">
        <f t="shared" si="15"/>
        <v>4.1602628976119778E-2</v>
      </c>
      <c r="T52" s="181"/>
      <c r="U52" s="144"/>
      <c r="V52" s="201">
        <v>61777</v>
      </c>
      <c r="W52" s="200">
        <f t="shared" si="16"/>
        <v>6777</v>
      </c>
      <c r="X52" s="200">
        <v>0</v>
      </c>
      <c r="Y52" s="124">
        <f t="shared" si="17"/>
        <v>68554</v>
      </c>
      <c r="Z52" s="200">
        <f t="shared" si="18"/>
        <v>8604.1620000000003</v>
      </c>
      <c r="AA52" s="200">
        <f t="shared" si="19"/>
        <v>10145.992</v>
      </c>
      <c r="AB52" s="125">
        <f t="shared" si="20"/>
        <v>87304.153999999995</v>
      </c>
      <c r="AC52" s="144"/>
      <c r="AD52" s="201">
        <f t="shared" si="59"/>
        <v>3602.0859999999957</v>
      </c>
      <c r="AE52" s="178">
        <f t="shared" si="60"/>
        <v>4.303461176132465E-2</v>
      </c>
      <c r="AF52" s="181"/>
      <c r="AG52" s="144"/>
      <c r="AH52" s="201">
        <v>63751</v>
      </c>
      <c r="AI52" s="200">
        <f t="shared" si="23"/>
        <v>6890</v>
      </c>
      <c r="AJ52" s="200">
        <v>0</v>
      </c>
      <c r="AK52" s="124">
        <f t="shared" si="24"/>
        <v>70641</v>
      </c>
      <c r="AL52" s="200">
        <f t="shared" si="25"/>
        <v>8892.1680000000015</v>
      </c>
      <c r="AM52" s="200">
        <f t="shared" si="26"/>
        <v>10454.867999999999</v>
      </c>
      <c r="AN52" s="125">
        <f t="shared" si="27"/>
        <v>89988.036000000007</v>
      </c>
      <c r="AO52" s="144"/>
      <c r="AP52" s="201">
        <f t="shared" si="61"/>
        <v>2683.8820000000123</v>
      </c>
      <c r="AQ52" s="178">
        <f t="shared" si="62"/>
        <v>3.0741744545168061E-2</v>
      </c>
      <c r="AR52" s="181"/>
      <c r="AS52" s="144"/>
      <c r="AT52" s="201">
        <v>65664</v>
      </c>
      <c r="AU52" s="200">
        <f t="shared" si="47"/>
        <v>7097</v>
      </c>
      <c r="AV52" s="200">
        <v>0</v>
      </c>
      <c r="AW52" s="124">
        <f t="shared" si="30"/>
        <v>72761</v>
      </c>
      <c r="AX52" s="200">
        <f t="shared" si="48"/>
        <v>8821.098</v>
      </c>
      <c r="AY52" s="200">
        <f t="shared" si="32"/>
        <v>10790.4563</v>
      </c>
      <c r="AZ52" s="125">
        <f t="shared" si="33"/>
        <v>92372.554300000003</v>
      </c>
      <c r="BA52" s="144"/>
      <c r="BB52" s="201">
        <f t="shared" si="34"/>
        <v>2384.5182999999961</v>
      </c>
      <c r="BC52" s="178">
        <f t="shared" si="35"/>
        <v>2.6498170267878676E-2</v>
      </c>
      <c r="BD52" s="181"/>
      <c r="BE52" s="207">
        <f t="shared" si="49"/>
        <v>1400</v>
      </c>
      <c r="BF52" s="283">
        <f t="shared" si="63"/>
        <v>67064</v>
      </c>
      <c r="BG52" s="200">
        <f t="shared" si="51"/>
        <v>7377</v>
      </c>
      <c r="BH52" s="200">
        <v>0</v>
      </c>
      <c r="BI52" s="124">
        <f t="shared" si="36"/>
        <v>74441</v>
      </c>
      <c r="BJ52" s="200">
        <f t="shared" si="52"/>
        <v>9833.8205000000016</v>
      </c>
      <c r="BK52" s="200">
        <f t="shared" si="37"/>
        <v>11411.8053</v>
      </c>
      <c r="BL52" s="125">
        <f t="shared" si="38"/>
        <v>95686.625800000009</v>
      </c>
      <c r="BM52" s="144"/>
      <c r="BN52" s="201">
        <f t="shared" si="39"/>
        <v>3314.0715000000055</v>
      </c>
      <c r="BO52" s="178">
        <f t="shared" si="40"/>
        <v>3.587723133904943E-2</v>
      </c>
      <c r="BP52" s="181"/>
      <c r="BR52" s="288">
        <v>70417</v>
      </c>
      <c r="BS52" s="200">
        <f t="shared" si="53"/>
        <v>7745.85</v>
      </c>
      <c r="BT52" s="200">
        <v>0</v>
      </c>
      <c r="BU52" s="124">
        <f t="shared" si="41"/>
        <v>78162.850000000006</v>
      </c>
      <c r="BV52" s="200">
        <f t="shared" si="54"/>
        <v>9530.6733000000022</v>
      </c>
      <c r="BW52" s="200">
        <f t="shared" si="42"/>
        <v>11982.364905</v>
      </c>
      <c r="BX52" s="125">
        <f t="shared" si="43"/>
        <v>99675.888204999996</v>
      </c>
      <c r="BY52" s="291">
        <f t="shared" si="56"/>
        <v>0.27523354387666243</v>
      </c>
      <c r="BZ52" s="201">
        <f t="shared" si="45"/>
        <v>3989.2624049999868</v>
      </c>
      <c r="CA52" s="178">
        <f t="shared" si="46"/>
        <v>4.1690908960863228E-2</v>
      </c>
      <c r="CB52" s="181"/>
      <c r="CD52" s="196" t="s">
        <v>20</v>
      </c>
      <c r="CE52" s="304" t="s">
        <v>336</v>
      </c>
      <c r="CF52" s="305" t="s">
        <v>381</v>
      </c>
      <c r="CG52" s="305" t="s">
        <v>346</v>
      </c>
      <c r="CH52" s="307">
        <v>75775.8</v>
      </c>
      <c r="CI52" s="307">
        <v>8335.44</v>
      </c>
      <c r="CJ52" s="316">
        <v>84111.24</v>
      </c>
      <c r="CK52" s="323">
        <f>+(CJ52-$CJ$10)*($CJ$8-$CJ$9)</f>
        <v>11866.686</v>
      </c>
      <c r="CL52" s="319">
        <f>+(CH52+CI52)*$CL$13</f>
        <v>12515.752511999999</v>
      </c>
      <c r="CM52" s="319">
        <f>SUM(CJ52:CL52)*$CM$8</f>
        <v>0</v>
      </c>
      <c r="CN52" s="324">
        <f t="shared" si="55"/>
        <v>108493.67851200001</v>
      </c>
    </row>
    <row r="53" spans="1:92" ht="12.75" customHeight="1">
      <c r="A53" s="144"/>
      <c r="B53" s="149" t="s">
        <v>20</v>
      </c>
      <c r="C53" s="151" t="s">
        <v>103</v>
      </c>
      <c r="D53" s="202">
        <v>58216.4</v>
      </c>
      <c r="E53" s="202">
        <f t="shared" si="4"/>
        <v>6469</v>
      </c>
      <c r="F53" s="129">
        <f t="shared" si="57"/>
        <v>64685.4</v>
      </c>
      <c r="G53" s="202">
        <f t="shared" si="6"/>
        <v>8095.1352000000006</v>
      </c>
      <c r="H53" s="202">
        <f t="shared" si="7"/>
        <v>9573.4391999999989</v>
      </c>
      <c r="I53" s="130">
        <f t="shared" si="8"/>
        <v>82353.974399999992</v>
      </c>
      <c r="J53" s="144"/>
      <c r="K53" s="203">
        <v>59090</v>
      </c>
      <c r="L53" s="202">
        <f t="shared" si="9"/>
        <v>6663</v>
      </c>
      <c r="M53" s="129">
        <f t="shared" si="58"/>
        <v>65753</v>
      </c>
      <c r="N53" s="202">
        <f t="shared" si="11"/>
        <v>8217.6239999999998</v>
      </c>
      <c r="O53" s="202">
        <f t="shared" si="12"/>
        <v>9731.4439999999995</v>
      </c>
      <c r="P53" s="130">
        <f t="shared" si="13"/>
        <v>83702.067999999999</v>
      </c>
      <c r="Q53" s="144"/>
      <c r="R53" s="203">
        <f t="shared" si="14"/>
        <v>1348.0936000000074</v>
      </c>
      <c r="S53" s="180">
        <f t="shared" si="15"/>
        <v>1.6369502623543176E-2</v>
      </c>
      <c r="T53" s="183"/>
      <c r="U53" s="144"/>
      <c r="V53" s="203">
        <v>61777</v>
      </c>
      <c r="W53" s="202">
        <f t="shared" si="16"/>
        <v>6777</v>
      </c>
      <c r="X53" s="202">
        <v>0</v>
      </c>
      <c r="Y53" s="129">
        <f t="shared" si="17"/>
        <v>68554</v>
      </c>
      <c r="Z53" s="202">
        <f t="shared" si="18"/>
        <v>8604.1620000000003</v>
      </c>
      <c r="AA53" s="202">
        <f t="shared" si="19"/>
        <v>10145.992</v>
      </c>
      <c r="AB53" s="130">
        <f t="shared" si="20"/>
        <v>87304.153999999995</v>
      </c>
      <c r="AC53" s="144"/>
      <c r="AD53" s="203">
        <f t="shared" si="59"/>
        <v>3602.0859999999957</v>
      </c>
      <c r="AE53" s="180">
        <f t="shared" si="60"/>
        <v>4.303461176132465E-2</v>
      </c>
      <c r="AF53" s="183"/>
      <c r="AG53" s="144"/>
      <c r="AH53" s="203">
        <v>63751</v>
      </c>
      <c r="AI53" s="202">
        <f t="shared" si="23"/>
        <v>6890</v>
      </c>
      <c r="AJ53" s="202">
        <v>0</v>
      </c>
      <c r="AK53" s="129">
        <f t="shared" si="24"/>
        <v>70641</v>
      </c>
      <c r="AL53" s="202">
        <f t="shared" si="25"/>
        <v>8892.1680000000015</v>
      </c>
      <c r="AM53" s="202">
        <f t="shared" si="26"/>
        <v>10454.867999999999</v>
      </c>
      <c r="AN53" s="130">
        <f t="shared" si="27"/>
        <v>89988.036000000007</v>
      </c>
      <c r="AO53" s="144"/>
      <c r="AP53" s="203">
        <f t="shared" si="61"/>
        <v>2683.8820000000123</v>
      </c>
      <c r="AQ53" s="180">
        <f t="shared" si="62"/>
        <v>3.0741744545168061E-2</v>
      </c>
      <c r="AR53" s="183"/>
      <c r="AS53" s="144"/>
      <c r="AT53" s="203">
        <f>AT52</f>
        <v>65664</v>
      </c>
      <c r="AU53" s="202">
        <f t="shared" si="47"/>
        <v>7097</v>
      </c>
      <c r="AV53" s="202">
        <v>0</v>
      </c>
      <c r="AW53" s="129">
        <f t="shared" si="30"/>
        <v>72761</v>
      </c>
      <c r="AX53" s="202">
        <f t="shared" si="48"/>
        <v>8821.098</v>
      </c>
      <c r="AY53" s="202">
        <f t="shared" si="32"/>
        <v>10790.4563</v>
      </c>
      <c r="AZ53" s="130">
        <f t="shared" si="33"/>
        <v>92372.554300000003</v>
      </c>
      <c r="BA53" s="144"/>
      <c r="BB53" s="203">
        <f t="shared" si="34"/>
        <v>2384.5182999999961</v>
      </c>
      <c r="BC53" s="180">
        <f t="shared" si="35"/>
        <v>2.6498170267878676E-2</v>
      </c>
      <c r="BD53" s="183"/>
      <c r="BE53" s="207">
        <f t="shared" si="49"/>
        <v>1400</v>
      </c>
      <c r="BF53" s="206">
        <f t="shared" si="63"/>
        <v>67064</v>
      </c>
      <c r="BG53" s="202">
        <f t="shared" si="51"/>
        <v>7377</v>
      </c>
      <c r="BH53" s="202">
        <v>0</v>
      </c>
      <c r="BI53" s="129">
        <f t="shared" si="36"/>
        <v>74441</v>
      </c>
      <c r="BJ53" s="202">
        <f t="shared" si="52"/>
        <v>9833.8205000000016</v>
      </c>
      <c r="BK53" s="202">
        <f t="shared" si="37"/>
        <v>11411.8053</v>
      </c>
      <c r="BL53" s="130">
        <f t="shared" si="38"/>
        <v>95686.625800000009</v>
      </c>
      <c r="BM53" s="144"/>
      <c r="BN53" s="203">
        <f t="shared" si="39"/>
        <v>3314.0715000000055</v>
      </c>
      <c r="BO53" s="180">
        <f t="shared" si="40"/>
        <v>3.587723133904943E-2</v>
      </c>
      <c r="BP53" s="183"/>
      <c r="BR53" s="289">
        <f t="shared" ref="BR53:BR55" si="66">BR52</f>
        <v>70417</v>
      </c>
      <c r="BS53" s="202">
        <f t="shared" si="53"/>
        <v>7745.85</v>
      </c>
      <c r="BT53" s="202">
        <v>0</v>
      </c>
      <c r="BU53" s="129">
        <f t="shared" si="41"/>
        <v>78162.850000000006</v>
      </c>
      <c r="BV53" s="202">
        <f t="shared" si="54"/>
        <v>9530.6733000000022</v>
      </c>
      <c r="BW53" s="202">
        <f t="shared" si="42"/>
        <v>11982.364905</v>
      </c>
      <c r="BX53" s="130">
        <f t="shared" si="43"/>
        <v>99675.888204999996</v>
      </c>
      <c r="BY53" s="291">
        <f t="shared" si="56"/>
        <v>0.27523354387666243</v>
      </c>
      <c r="BZ53" s="203">
        <f t="shared" si="45"/>
        <v>3989.2624049999868</v>
      </c>
      <c r="CA53" s="180">
        <f t="shared" si="46"/>
        <v>4.1690908960863228E-2</v>
      </c>
      <c r="CB53" s="183"/>
      <c r="CD53" s="149" t="s">
        <v>20</v>
      </c>
      <c r="CE53" s="301" t="s">
        <v>354</v>
      </c>
      <c r="CF53" s="298" t="s">
        <v>382</v>
      </c>
      <c r="CG53" s="299" t="s">
        <v>341</v>
      </c>
      <c r="CH53" s="303">
        <v>77006.94</v>
      </c>
      <c r="CI53" s="300">
        <v>8335.44</v>
      </c>
      <c r="CJ53" s="318">
        <v>85342.38</v>
      </c>
      <c r="CK53" s="323">
        <f>+(CJ53-$CJ$10)*($CJ$8-$CJ$9)</f>
        <v>12051.357</v>
      </c>
      <c r="CL53" s="319">
        <f>+(CH53+CI53)*$CL$13</f>
        <v>12698.946144</v>
      </c>
      <c r="CM53" s="319">
        <f>SUM(CJ53:CL53)*$CM$8</f>
        <v>0</v>
      </c>
      <c r="CN53" s="324">
        <f t="shared" si="55"/>
        <v>110092.68314400001</v>
      </c>
    </row>
    <row r="54" spans="1:92" ht="12.75" customHeight="1">
      <c r="A54" s="144"/>
      <c r="B54" s="149" t="s">
        <v>20</v>
      </c>
      <c r="C54" s="151" t="s">
        <v>104</v>
      </c>
      <c r="D54" s="202">
        <v>63020.97</v>
      </c>
      <c r="E54" s="202">
        <f t="shared" si="4"/>
        <v>6469</v>
      </c>
      <c r="F54" s="129">
        <f t="shared" si="57"/>
        <v>69489.97</v>
      </c>
      <c r="G54" s="202">
        <f t="shared" si="6"/>
        <v>8758.165860000001</v>
      </c>
      <c r="H54" s="202">
        <f t="shared" si="7"/>
        <v>10284.51556</v>
      </c>
      <c r="I54" s="130">
        <f t="shared" si="8"/>
        <v>88532.651420000009</v>
      </c>
      <c r="J54" s="144"/>
      <c r="K54" s="203">
        <v>63966</v>
      </c>
      <c r="L54" s="202">
        <f t="shared" si="9"/>
        <v>6663</v>
      </c>
      <c r="M54" s="129">
        <f t="shared" si="58"/>
        <v>70629</v>
      </c>
      <c r="N54" s="202">
        <f t="shared" si="11"/>
        <v>8890.5120000000006</v>
      </c>
      <c r="O54" s="202">
        <f t="shared" ref="O54:O66" si="67">+(K54+L54)*O$13</f>
        <v>10453.091999999999</v>
      </c>
      <c r="P54" s="130">
        <f t="shared" si="13"/>
        <v>89972.604000000007</v>
      </c>
      <c r="Q54" s="144"/>
      <c r="R54" s="203">
        <f t="shared" si="14"/>
        <v>1439.9525799999974</v>
      </c>
      <c r="S54" s="180">
        <f t="shared" si="15"/>
        <v>1.6264649899265349E-2</v>
      </c>
      <c r="T54" s="183"/>
      <c r="U54" s="144"/>
      <c r="V54" s="203">
        <v>64670</v>
      </c>
      <c r="W54" s="202">
        <f t="shared" si="16"/>
        <v>6777</v>
      </c>
      <c r="X54" s="202">
        <v>0</v>
      </c>
      <c r="Y54" s="129">
        <f t="shared" ref="Y54:Y66" si="68">V54+W54+X54</f>
        <v>71447</v>
      </c>
      <c r="Z54" s="202">
        <f t="shared" si="18"/>
        <v>9003.3960000000006</v>
      </c>
      <c r="AA54" s="202">
        <f t="shared" si="19"/>
        <v>10574.155999999999</v>
      </c>
      <c r="AB54" s="130">
        <f t="shared" si="20"/>
        <v>91024.552000000011</v>
      </c>
      <c r="AC54" s="144"/>
      <c r="AD54" s="203">
        <f t="shared" si="59"/>
        <v>1051.948000000004</v>
      </c>
      <c r="AE54" s="180">
        <f t="shared" si="60"/>
        <v>1.1691870116374578E-2</v>
      </c>
      <c r="AF54" s="183"/>
      <c r="AG54" s="144"/>
      <c r="AH54" s="206">
        <v>63751</v>
      </c>
      <c r="AI54" s="202">
        <f t="shared" si="23"/>
        <v>6890</v>
      </c>
      <c r="AJ54" s="202">
        <v>1180</v>
      </c>
      <c r="AK54" s="129">
        <f t="shared" si="24"/>
        <v>71821</v>
      </c>
      <c r="AL54" s="202">
        <f t="shared" si="25"/>
        <v>9055.0080000000016</v>
      </c>
      <c r="AM54" s="202">
        <f t="shared" si="26"/>
        <v>10454.867999999999</v>
      </c>
      <c r="AN54" s="130">
        <f t="shared" si="27"/>
        <v>91330.876000000004</v>
      </c>
      <c r="AO54" s="144"/>
      <c r="AP54" s="203">
        <f t="shared" si="61"/>
        <v>306.32399999999325</v>
      </c>
      <c r="AQ54" s="180">
        <f t="shared" si="62"/>
        <v>3.3652898396027615E-3</v>
      </c>
      <c r="AR54" s="183"/>
      <c r="AS54" s="144"/>
      <c r="AT54" s="203" t="e">
        <f>#REF!</f>
        <v>#REF!</v>
      </c>
      <c r="AU54" s="202" t="e">
        <f t="shared" si="47"/>
        <v>#REF!</v>
      </c>
      <c r="AV54" s="202">
        <v>1180</v>
      </c>
      <c r="AW54" s="129" t="e">
        <f t="shared" si="30"/>
        <v>#REF!</v>
      </c>
      <c r="AX54" s="202" t="e">
        <f t="shared" si="48"/>
        <v>#REF!</v>
      </c>
      <c r="AY54" s="202" t="e">
        <f t="shared" si="32"/>
        <v>#REF!</v>
      </c>
      <c r="AZ54" s="130" t="e">
        <f t="shared" si="33"/>
        <v>#REF!</v>
      </c>
      <c r="BA54" s="144"/>
      <c r="BB54" s="203" t="e">
        <f t="shared" si="34"/>
        <v>#REF!</v>
      </c>
      <c r="BC54" s="180" t="e">
        <f t="shared" si="35"/>
        <v>#REF!</v>
      </c>
      <c r="BD54" s="183"/>
      <c r="BE54" s="207" t="e">
        <f t="shared" si="49"/>
        <v>#REF!</v>
      </c>
      <c r="BF54" s="206" t="e">
        <f t="shared" si="63"/>
        <v>#REF!</v>
      </c>
      <c r="BG54" s="202" t="e">
        <f t="shared" si="51"/>
        <v>#REF!</v>
      </c>
      <c r="BH54" s="202">
        <v>1180</v>
      </c>
      <c r="BI54" s="129" t="e">
        <f t="shared" si="36"/>
        <v>#REF!</v>
      </c>
      <c r="BJ54" s="202" t="e">
        <f t="shared" si="52"/>
        <v>#REF!</v>
      </c>
      <c r="BK54" s="202" t="e">
        <f t="shared" si="37"/>
        <v>#REF!</v>
      </c>
      <c r="BL54" s="130" t="e">
        <f t="shared" si="38"/>
        <v>#REF!</v>
      </c>
      <c r="BM54" s="144"/>
      <c r="BN54" s="203" t="e">
        <f t="shared" si="39"/>
        <v>#REF!</v>
      </c>
      <c r="BO54" s="180" t="e">
        <f t="shared" si="40"/>
        <v>#REF!</v>
      </c>
      <c r="BP54" s="183"/>
      <c r="BR54" s="289" t="e">
        <f>#REF!</f>
        <v>#REF!</v>
      </c>
      <c r="BS54" s="202" t="e">
        <f t="shared" si="53"/>
        <v>#REF!</v>
      </c>
      <c r="BT54" s="202">
        <v>1180</v>
      </c>
      <c r="BU54" s="129" t="e">
        <f t="shared" si="41"/>
        <v>#REF!</v>
      </c>
      <c r="BV54" s="202" t="e">
        <f t="shared" si="54"/>
        <v>#REF!</v>
      </c>
      <c r="BW54" s="202" t="e">
        <f t="shared" si="42"/>
        <v>#REF!</v>
      </c>
      <c r="BX54" s="130" t="e">
        <f t="shared" si="43"/>
        <v>#REF!</v>
      </c>
      <c r="BY54" s="291" t="e">
        <f t="shared" si="56"/>
        <v>#REF!</v>
      </c>
      <c r="BZ54" s="203" t="e">
        <f t="shared" si="45"/>
        <v>#REF!</v>
      </c>
      <c r="CA54" s="180" t="e">
        <f t="shared" si="46"/>
        <v>#REF!</v>
      </c>
      <c r="CB54" s="183"/>
      <c r="CD54" s="149" t="s">
        <v>20</v>
      </c>
      <c r="CE54" s="301" t="s">
        <v>339</v>
      </c>
      <c r="CF54" s="298" t="s">
        <v>383</v>
      </c>
      <c r="CG54" s="299" t="s">
        <v>350</v>
      </c>
      <c r="CH54" s="303">
        <v>82929.06</v>
      </c>
      <c r="CI54" s="300">
        <v>8335.44</v>
      </c>
      <c r="CJ54" s="318">
        <v>91264.5</v>
      </c>
      <c r="CK54" s="323">
        <f>+(CJ54-$CJ$10)*($CJ$8-$CJ$9)</f>
        <v>12939.674999999999</v>
      </c>
      <c r="CL54" s="319">
        <f>+(CH54+CI54)*$CL$13</f>
        <v>13580.157599999999</v>
      </c>
      <c r="CM54" s="319">
        <f>SUM(CJ54:CL54)*$CM$8</f>
        <v>0</v>
      </c>
      <c r="CN54" s="324">
        <f t="shared" si="55"/>
        <v>117784.33259999999</v>
      </c>
    </row>
    <row r="55" spans="1:92" ht="12.75" customHeight="1">
      <c r="A55" s="144"/>
      <c r="B55" s="149" t="s">
        <v>20</v>
      </c>
      <c r="C55" s="151" t="s">
        <v>105</v>
      </c>
      <c r="D55" s="202">
        <v>67247.820000000007</v>
      </c>
      <c r="E55" s="202">
        <f t="shared" si="4"/>
        <v>6469</v>
      </c>
      <c r="F55" s="129">
        <f t="shared" si="57"/>
        <v>73716.820000000007</v>
      </c>
      <c r="G55" s="202">
        <f t="shared" ref="G55:G66" si="69">+(F55-$F$10)*($F$8-$F$9)</f>
        <v>9341.471160000001</v>
      </c>
      <c r="H55" s="202">
        <f t="shared" ref="H55:H66" si="70">+(D55+E55)*H$13</f>
        <v>10910.08936</v>
      </c>
      <c r="I55" s="130">
        <f t="shared" si="8"/>
        <v>93968.380520000006</v>
      </c>
      <c r="J55" s="144"/>
      <c r="K55" s="203">
        <v>68256</v>
      </c>
      <c r="L55" s="202">
        <f t="shared" ref="L55:L66" si="71">IF((K55*$K$4)&lt;$K$5,$K$5,IF((K55*$K$4)&gt;$K$6,$K$6,(K55*$K$4)))</f>
        <v>6663</v>
      </c>
      <c r="M55" s="129">
        <f t="shared" si="58"/>
        <v>74919</v>
      </c>
      <c r="N55" s="202">
        <f t="shared" ref="N55:N66" si="72">+(M55-$M$10)*($M$8-$M$9)</f>
        <v>9482.5320000000011</v>
      </c>
      <c r="O55" s="202">
        <f t="shared" si="67"/>
        <v>11088.011999999999</v>
      </c>
      <c r="P55" s="130">
        <f t="shared" si="13"/>
        <v>95489.544000000009</v>
      </c>
      <c r="Q55" s="144"/>
      <c r="R55" s="203">
        <f t="shared" ref="R55:R66" si="73">P55-I55</f>
        <v>1521.1634800000029</v>
      </c>
      <c r="S55" s="180">
        <f t="shared" ref="S55:S67" si="74">R55/I55</f>
        <v>1.618803550281727E-2</v>
      </c>
      <c r="T55" s="183"/>
      <c r="U55" s="144"/>
      <c r="V55" s="203">
        <v>69007</v>
      </c>
      <c r="W55" s="202">
        <f t="shared" ref="W55:W66" si="75">IF((V55*$V$4)&lt;$V$5,$V$5,IF((V55*$V$4)&gt;$V$6,$V$6,(V55*$V$4)))</f>
        <v>6777</v>
      </c>
      <c r="X55" s="202">
        <v>0</v>
      </c>
      <c r="Y55" s="129">
        <f t="shared" si="68"/>
        <v>75784</v>
      </c>
      <c r="Z55" s="202">
        <f t="shared" ref="Z55:Z66" si="76">+(Y55-$Y$10)*($Y$8-$Y$9)</f>
        <v>9601.902</v>
      </c>
      <c r="AA55" s="202">
        <f t="shared" si="19"/>
        <v>11216.031999999999</v>
      </c>
      <c r="AB55" s="130">
        <f t="shared" si="20"/>
        <v>96601.934000000008</v>
      </c>
      <c r="AC55" s="144"/>
      <c r="AD55" s="203">
        <f t="shared" si="59"/>
        <v>1112.3899999999994</v>
      </c>
      <c r="AE55" s="180">
        <f t="shared" si="60"/>
        <v>1.1649338277288238E-2</v>
      </c>
      <c r="AF55" s="183"/>
      <c r="AG55" s="144"/>
      <c r="AH55" s="206">
        <v>63751</v>
      </c>
      <c r="AI55" s="202">
        <f t="shared" ref="AI55:AI66" si="77">IF((AH55*$AH$4)&lt;$AH$5,$AH$5,IF((AH55*$AH$4)&gt;$AH$6,$AH$6,(AH55*$AH$4)))</f>
        <v>6890</v>
      </c>
      <c r="AJ55" s="202">
        <v>5534</v>
      </c>
      <c r="AK55" s="129">
        <f t="shared" ref="AK55:AK66" si="78">AH55+AI55+AJ55</f>
        <v>76175</v>
      </c>
      <c r="AL55" s="202">
        <f t="shared" ref="AL55:AL66" si="79">+(AK55-$AK$10)*($AK$8-$AK$9)</f>
        <v>9655.86</v>
      </c>
      <c r="AM55" s="202">
        <f t="shared" si="26"/>
        <v>10454.867999999999</v>
      </c>
      <c r="AN55" s="130">
        <f t="shared" si="27"/>
        <v>96285.728000000003</v>
      </c>
      <c r="AO55" s="144"/>
      <c r="AP55" s="203">
        <f t="shared" si="61"/>
        <v>-316.20600000000559</v>
      </c>
      <c r="AQ55" s="180">
        <f t="shared" si="62"/>
        <v>-3.2732885037271156E-3</v>
      </c>
      <c r="AR55" s="183"/>
      <c r="AS55" s="144"/>
      <c r="AT55" s="203" t="e">
        <f>AT54</f>
        <v>#REF!</v>
      </c>
      <c r="AU55" s="202" t="e">
        <f t="shared" si="47"/>
        <v>#REF!</v>
      </c>
      <c r="AV55" s="202">
        <v>5534</v>
      </c>
      <c r="AW55" s="129" t="e">
        <f t="shared" si="30"/>
        <v>#REF!</v>
      </c>
      <c r="AX55" s="202" t="e">
        <f t="shared" si="48"/>
        <v>#REF!</v>
      </c>
      <c r="AY55" s="202" t="e">
        <f t="shared" si="32"/>
        <v>#REF!</v>
      </c>
      <c r="AZ55" s="130" t="e">
        <f t="shared" si="33"/>
        <v>#REF!</v>
      </c>
      <c r="BA55" s="144"/>
      <c r="BB55" s="203" t="e">
        <f t="shared" si="34"/>
        <v>#REF!</v>
      </c>
      <c r="BC55" s="180" t="e">
        <f t="shared" si="35"/>
        <v>#REF!</v>
      </c>
      <c r="BD55" s="183"/>
      <c r="BE55" s="207" t="e">
        <f t="shared" si="49"/>
        <v>#REF!</v>
      </c>
      <c r="BF55" s="206" t="e">
        <f t="shared" si="63"/>
        <v>#REF!</v>
      </c>
      <c r="BG55" s="202" t="e">
        <f t="shared" si="51"/>
        <v>#REF!</v>
      </c>
      <c r="BH55" s="202">
        <v>5534</v>
      </c>
      <c r="BI55" s="129" t="e">
        <f t="shared" si="36"/>
        <v>#REF!</v>
      </c>
      <c r="BJ55" s="202" t="e">
        <f t="shared" si="52"/>
        <v>#REF!</v>
      </c>
      <c r="BK55" s="202" t="e">
        <f t="shared" si="37"/>
        <v>#REF!</v>
      </c>
      <c r="BL55" s="130" t="e">
        <f t="shared" si="38"/>
        <v>#REF!</v>
      </c>
      <c r="BM55" s="144"/>
      <c r="BN55" s="203" t="e">
        <f t="shared" si="39"/>
        <v>#REF!</v>
      </c>
      <c r="BO55" s="180" t="e">
        <f t="shared" si="40"/>
        <v>#REF!</v>
      </c>
      <c r="BP55" s="183"/>
      <c r="BR55" s="289" t="e">
        <f t="shared" si="66"/>
        <v>#REF!</v>
      </c>
      <c r="BS55" s="202" t="e">
        <f t="shared" si="53"/>
        <v>#REF!</v>
      </c>
      <c r="BT55" s="202">
        <v>5534</v>
      </c>
      <c r="BU55" s="129" t="e">
        <f t="shared" si="41"/>
        <v>#REF!</v>
      </c>
      <c r="BV55" s="202" t="e">
        <f t="shared" si="54"/>
        <v>#REF!</v>
      </c>
      <c r="BW55" s="202" t="e">
        <f t="shared" si="42"/>
        <v>#REF!</v>
      </c>
      <c r="BX55" s="130" t="e">
        <f t="shared" si="43"/>
        <v>#REF!</v>
      </c>
      <c r="BY55" s="291" t="e">
        <f t="shared" si="56"/>
        <v>#REF!</v>
      </c>
      <c r="BZ55" s="203" t="e">
        <f t="shared" si="45"/>
        <v>#REF!</v>
      </c>
      <c r="CA55" s="180" t="e">
        <f t="shared" si="46"/>
        <v>#REF!</v>
      </c>
      <c r="CB55" s="183"/>
      <c r="CD55" s="149" t="s">
        <v>20</v>
      </c>
      <c r="CE55" s="301" t="s">
        <v>348</v>
      </c>
      <c r="CF55" s="298" t="s">
        <v>384</v>
      </c>
      <c r="CG55" s="299" t="s">
        <v>358</v>
      </c>
      <c r="CH55" s="303">
        <v>85143.48</v>
      </c>
      <c r="CI55" s="300">
        <v>8335.44</v>
      </c>
      <c r="CJ55" s="318">
        <v>93478.92</v>
      </c>
      <c r="CK55" s="323">
        <f>+(CJ55-$CJ$10)*($CJ$8-$CJ$9)</f>
        <v>13271.838</v>
      </c>
      <c r="CL55" s="319">
        <f>+(CH55+CI55)*$CL$13</f>
        <v>13909.663295999999</v>
      </c>
      <c r="CM55" s="319">
        <f>SUM(CJ55:CL55)*$CM$8</f>
        <v>0</v>
      </c>
      <c r="CN55" s="324">
        <f t="shared" si="55"/>
        <v>120660.421296</v>
      </c>
    </row>
    <row r="56" spans="1:92" ht="12.75" customHeight="1" thickBot="1">
      <c r="A56" s="144"/>
      <c r="B56" s="198" t="s">
        <v>20</v>
      </c>
      <c r="C56" s="199" t="s">
        <v>106</v>
      </c>
      <c r="D56" s="204">
        <v>69168.84</v>
      </c>
      <c r="E56" s="204">
        <f t="shared" ref="E56:E66" si="80">IF((D56*$D$4)&lt;$D$5,$D$5,IF((D56*$D$4)&gt;$D$6,$D$6,(D56*$D$4)))</f>
        <v>6469</v>
      </c>
      <c r="F56" s="127">
        <f t="shared" si="57"/>
        <v>75637.84</v>
      </c>
      <c r="G56" s="204">
        <f t="shared" si="69"/>
        <v>9606.5719200000003</v>
      </c>
      <c r="H56" s="204">
        <f t="shared" si="70"/>
        <v>11194.400319999999</v>
      </c>
      <c r="I56" s="128">
        <f t="shared" ref="I56:I66" si="81">+SUM(F56:H56)</f>
        <v>96438.812239999999</v>
      </c>
      <c r="J56" s="144"/>
      <c r="K56" s="205">
        <v>71243</v>
      </c>
      <c r="L56" s="204">
        <f t="shared" si="71"/>
        <v>6663</v>
      </c>
      <c r="M56" s="127">
        <f t="shared" si="58"/>
        <v>77906</v>
      </c>
      <c r="N56" s="204">
        <f t="shared" si="72"/>
        <v>9894.7380000000012</v>
      </c>
      <c r="O56" s="204">
        <f t="shared" si="67"/>
        <v>11530.088</v>
      </c>
      <c r="P56" s="128">
        <f t="shared" ref="P56:P66" si="82">+SUM(M56:O56)</f>
        <v>99330.826000000001</v>
      </c>
      <c r="Q56" s="144"/>
      <c r="R56" s="205">
        <f t="shared" si="73"/>
        <v>2892.0137600000016</v>
      </c>
      <c r="S56" s="179">
        <f t="shared" si="74"/>
        <v>2.998806904426472E-2</v>
      </c>
      <c r="T56" s="182">
        <f>SUM(R52:R56)/SUM(I52:I56)</f>
        <v>2.3874788785468309E-2</v>
      </c>
      <c r="U56" s="144"/>
      <c r="V56" s="205">
        <v>72597</v>
      </c>
      <c r="W56" s="204">
        <f t="shared" si="75"/>
        <v>6777</v>
      </c>
      <c r="X56" s="204">
        <v>799</v>
      </c>
      <c r="Y56" s="127">
        <f t="shared" si="68"/>
        <v>80173</v>
      </c>
      <c r="Z56" s="204">
        <f t="shared" si="76"/>
        <v>10207.584000000001</v>
      </c>
      <c r="AA56" s="204">
        <f t="shared" ref="AA56:AA66" si="83">+(V56+W56)*AA$13</f>
        <v>11747.351999999999</v>
      </c>
      <c r="AB56" s="128">
        <f t="shared" ref="AB56:AB66" si="84">+SUM(Y56:AA56)</f>
        <v>102127.936</v>
      </c>
      <c r="AC56" s="144"/>
      <c r="AD56" s="205">
        <f t="shared" ref="AD56:AD66" si="85">AB56-P56</f>
        <v>2797.1100000000006</v>
      </c>
      <c r="AE56" s="179">
        <f t="shared" ref="AE56:AE67" si="86">AD56/P56</f>
        <v>2.8159536295409449E-2</v>
      </c>
      <c r="AF56" s="182">
        <f>SUM(AD52:AD56)/SUM(P52:P56)</f>
        <v>2.6903356370411115E-2</v>
      </c>
      <c r="AG56" s="144"/>
      <c r="AH56" s="205">
        <v>73664</v>
      </c>
      <c r="AI56" s="204">
        <f t="shared" si="77"/>
        <v>6890</v>
      </c>
      <c r="AJ56" s="204">
        <v>0</v>
      </c>
      <c r="AK56" s="127">
        <f t="shared" si="78"/>
        <v>80554</v>
      </c>
      <c r="AL56" s="204">
        <f t="shared" si="79"/>
        <v>10260.162</v>
      </c>
      <c r="AM56" s="204">
        <f t="shared" ref="AM56:AM66" si="87">+(AH56+AI56)*AM$13</f>
        <v>11921.992</v>
      </c>
      <c r="AN56" s="128">
        <f t="shared" ref="AN56:AN66" si="88">+SUM(AK56:AM56)</f>
        <v>102736.15399999999</v>
      </c>
      <c r="AO56" s="144"/>
      <c r="AP56" s="205">
        <f t="shared" ref="AP56:AP66" si="89">AN56-AB56</f>
        <v>608.21799999999348</v>
      </c>
      <c r="AQ56" s="179">
        <f t="shared" ref="AQ56:AQ67" si="90">AP56/AB56</f>
        <v>5.9554517972437385E-3</v>
      </c>
      <c r="AR56" s="182">
        <f>SUM(AP52:AP56)/SUM(AB52:AB56)</f>
        <v>1.2847930323779443E-2</v>
      </c>
      <c r="AS56" s="144"/>
      <c r="AT56" s="205">
        <v>75874</v>
      </c>
      <c r="AU56" s="204">
        <f t="shared" si="47"/>
        <v>7097</v>
      </c>
      <c r="AV56" s="204">
        <v>0</v>
      </c>
      <c r="AW56" s="127">
        <f t="shared" ref="AW56:AW66" si="91">AT56+AU56+AV56</f>
        <v>82971</v>
      </c>
      <c r="AX56" s="204">
        <f t="shared" si="48"/>
        <v>10230.078000000001</v>
      </c>
      <c r="AY56" s="204">
        <f t="shared" ref="AY56:AY66" si="92">+(AT56+AU56)*AY$13</f>
        <v>12304.5993</v>
      </c>
      <c r="AZ56" s="128">
        <f t="shared" ref="AZ56:AZ66" si="93">+SUM(AW56:AY56)</f>
        <v>105505.67730000001</v>
      </c>
      <c r="BA56" s="144"/>
      <c r="BB56" s="205">
        <f t="shared" ref="BB56:BB66" si="94">AZ56-AN56</f>
        <v>2769.5233000000153</v>
      </c>
      <c r="BC56" s="179">
        <f t="shared" ref="BC56:BC67" si="95">BB56/AN56</f>
        <v>2.6957630709049274E-2</v>
      </c>
      <c r="BD56" s="182" t="e">
        <f>SUM(BB52:BB56)/SUM(AN52:AN56)</f>
        <v>#REF!</v>
      </c>
      <c r="BE56" s="207">
        <f t="shared" si="49"/>
        <v>1400</v>
      </c>
      <c r="BF56" s="284">
        <f t="shared" si="63"/>
        <v>77274</v>
      </c>
      <c r="BG56" s="204">
        <f t="shared" si="51"/>
        <v>7377</v>
      </c>
      <c r="BH56" s="204">
        <v>0</v>
      </c>
      <c r="BI56" s="127">
        <f t="shared" ref="BI56:BI66" si="96">BF56+BG56+BH56</f>
        <v>84651</v>
      </c>
      <c r="BJ56" s="204">
        <f t="shared" si="52"/>
        <v>11370.425500000001</v>
      </c>
      <c r="BK56" s="204">
        <f t="shared" ref="BK56:BK66" si="97">+(BF56+BG56)*BK$13</f>
        <v>12976.998299999999</v>
      </c>
      <c r="BL56" s="128">
        <f t="shared" ref="BL56:BL66" si="98">+SUM(BI56:BK56)</f>
        <v>108998.42379999999</v>
      </c>
      <c r="BM56" s="144"/>
      <c r="BN56" s="205">
        <f t="shared" ref="BN56:BN66" si="99">BL56-AZ56</f>
        <v>3492.7464999999793</v>
      </c>
      <c r="BO56" s="179">
        <f t="shared" ref="BO56:BO67" si="100">BN56/AZ56</f>
        <v>3.3104820417090286E-2</v>
      </c>
      <c r="BP56" s="182" t="e">
        <f>SUM(BN52:BN56)/SUM(AZ52:AZ56)</f>
        <v>#REF!</v>
      </c>
      <c r="BR56" s="290">
        <v>81138</v>
      </c>
      <c r="BS56" s="204">
        <f t="shared" si="53"/>
        <v>7745.85</v>
      </c>
      <c r="BT56" s="204">
        <v>0</v>
      </c>
      <c r="BU56" s="127">
        <f t="shared" ref="BU56:BU66" si="101">BR56+BS56+BT56</f>
        <v>88883.85</v>
      </c>
      <c r="BV56" s="204">
        <f t="shared" si="54"/>
        <v>11010.171300000002</v>
      </c>
      <c r="BW56" s="204">
        <f t="shared" ref="BW56:BW66" si="102">+(BR56+BS56)*BW$13</f>
        <v>13625.894205000001</v>
      </c>
      <c r="BX56" s="128">
        <f t="shared" ref="BX56:BX66" si="103">+SUM(BU56:BW56)</f>
        <v>113519.91550500001</v>
      </c>
      <c r="BY56" s="291">
        <f t="shared" si="56"/>
        <v>0.27717144908777014</v>
      </c>
      <c r="BZ56" s="205">
        <f t="shared" ref="BZ56:BZ66" si="104">BX56-BL56</f>
        <v>4521.4917050000222</v>
      </c>
      <c r="CA56" s="179">
        <f t="shared" ref="CA56:CA67" si="105">BZ56/BL56</f>
        <v>4.1482175130316178E-2</v>
      </c>
      <c r="CB56" s="182" t="e">
        <f>SUM(BZ52:BZ56)/SUM(BL52:BL56)</f>
        <v>#REF!</v>
      </c>
      <c r="CD56" s="198" t="s">
        <v>20</v>
      </c>
      <c r="CE56" s="308" t="s">
        <v>342</v>
      </c>
      <c r="CF56" s="312" t="s">
        <v>385</v>
      </c>
      <c r="CG56" s="309" t="s">
        <v>360</v>
      </c>
      <c r="CH56" s="311">
        <v>87313.02</v>
      </c>
      <c r="CI56" s="311">
        <v>8335.44</v>
      </c>
      <c r="CJ56" s="317">
        <v>95648.46</v>
      </c>
      <c r="CK56" s="323">
        <f>+(CJ56-$CJ$10)*($CJ$8-$CJ$9)</f>
        <v>13597.269</v>
      </c>
      <c r="CL56" s="319">
        <f>+(CH56+CI56)*$CL$13</f>
        <v>14232.490847999999</v>
      </c>
      <c r="CM56" s="319">
        <f>SUM(CJ56:CL56)*$CM$8</f>
        <v>0</v>
      </c>
      <c r="CN56" s="324">
        <f t="shared" si="55"/>
        <v>123478.21984800001</v>
      </c>
    </row>
    <row r="57" spans="1:92" ht="12.75" customHeight="1">
      <c r="A57" s="144"/>
      <c r="B57" s="196" t="s">
        <v>21</v>
      </c>
      <c r="C57" s="197" t="s">
        <v>105</v>
      </c>
      <c r="D57" s="200">
        <v>67247.820000000007</v>
      </c>
      <c r="E57" s="200">
        <f t="shared" si="80"/>
        <v>6469</v>
      </c>
      <c r="F57" s="124">
        <f t="shared" si="57"/>
        <v>73716.820000000007</v>
      </c>
      <c r="G57" s="200">
        <f t="shared" si="69"/>
        <v>9341.471160000001</v>
      </c>
      <c r="H57" s="200">
        <f t="shared" si="70"/>
        <v>10910.08936</v>
      </c>
      <c r="I57" s="125">
        <f t="shared" si="81"/>
        <v>93968.380520000006</v>
      </c>
      <c r="J57" s="144"/>
      <c r="K57" s="201">
        <v>70206</v>
      </c>
      <c r="L57" s="200">
        <f t="shared" si="71"/>
        <v>6663</v>
      </c>
      <c r="M57" s="124">
        <f t="shared" si="58"/>
        <v>76869</v>
      </c>
      <c r="N57" s="200">
        <f t="shared" si="72"/>
        <v>9751.6320000000014</v>
      </c>
      <c r="O57" s="200">
        <f t="shared" si="67"/>
        <v>11376.611999999999</v>
      </c>
      <c r="P57" s="125">
        <f t="shared" si="82"/>
        <v>97997.243999999992</v>
      </c>
      <c r="Q57" s="144"/>
      <c r="R57" s="201">
        <f t="shared" si="73"/>
        <v>4028.8634799999854</v>
      </c>
      <c r="S57" s="178">
        <f t="shared" si="74"/>
        <v>4.2874671859886866E-2</v>
      </c>
      <c r="T57" s="181"/>
      <c r="U57" s="144"/>
      <c r="V57" s="201">
        <v>73936</v>
      </c>
      <c r="W57" s="200">
        <f t="shared" si="75"/>
        <v>6777</v>
      </c>
      <c r="X57" s="200">
        <v>0</v>
      </c>
      <c r="Y57" s="124">
        <f t="shared" si="68"/>
        <v>80713</v>
      </c>
      <c r="Z57" s="200">
        <f t="shared" si="76"/>
        <v>10282.104000000001</v>
      </c>
      <c r="AA57" s="200">
        <f t="shared" si="83"/>
        <v>11945.523999999999</v>
      </c>
      <c r="AB57" s="125">
        <f t="shared" si="84"/>
        <v>102940.62800000001</v>
      </c>
      <c r="AC57" s="144"/>
      <c r="AD57" s="201">
        <f t="shared" si="85"/>
        <v>4943.38400000002</v>
      </c>
      <c r="AE57" s="178">
        <f t="shared" si="86"/>
        <v>5.044411248953104E-2</v>
      </c>
      <c r="AF57" s="181"/>
      <c r="AG57" s="144"/>
      <c r="AH57" s="201">
        <v>75914</v>
      </c>
      <c r="AI57" s="200">
        <f t="shared" si="77"/>
        <v>6890</v>
      </c>
      <c r="AJ57" s="200">
        <v>0</v>
      </c>
      <c r="AK57" s="124">
        <f t="shared" si="78"/>
        <v>82804</v>
      </c>
      <c r="AL57" s="200">
        <f t="shared" si="79"/>
        <v>10570.662</v>
      </c>
      <c r="AM57" s="200">
        <f t="shared" si="87"/>
        <v>12254.992</v>
      </c>
      <c r="AN57" s="125">
        <f t="shared" si="88"/>
        <v>105629.65399999999</v>
      </c>
      <c r="AO57" s="144"/>
      <c r="AP57" s="201">
        <f t="shared" si="89"/>
        <v>2689.0259999999835</v>
      </c>
      <c r="AQ57" s="178">
        <f t="shared" si="90"/>
        <v>2.6122106035723652E-2</v>
      </c>
      <c r="AR57" s="181"/>
      <c r="AS57" s="144"/>
      <c r="AT57" s="201">
        <v>78192</v>
      </c>
      <c r="AU57" s="200">
        <f t="shared" ref="AU57:AU66" si="106">IF((AT57*$AT$4)&lt;$AT$5,$AT$5,IF((AT57*$AT$4)&gt;$AT$6,$AT$6,(AT57*$AT$4)))</f>
        <v>7097</v>
      </c>
      <c r="AV57" s="200">
        <v>0</v>
      </c>
      <c r="AW57" s="124">
        <f t="shared" si="91"/>
        <v>85289</v>
      </c>
      <c r="AX57" s="200">
        <f t="shared" si="48"/>
        <v>10549.962000000001</v>
      </c>
      <c r="AY57" s="200">
        <f t="shared" si="92"/>
        <v>12648.358699999999</v>
      </c>
      <c r="AZ57" s="125">
        <f t="shared" si="93"/>
        <v>108487.3207</v>
      </c>
      <c r="BA57" s="144"/>
      <c r="BB57" s="201">
        <f t="shared" si="94"/>
        <v>2857.6667000000016</v>
      </c>
      <c r="BC57" s="178">
        <f t="shared" si="95"/>
        <v>2.7053640637694429E-2</v>
      </c>
      <c r="BD57" s="181"/>
      <c r="BE57" s="207">
        <f t="shared" ref="BE57:BE66" si="107">BF57-AT57</f>
        <v>1400</v>
      </c>
      <c r="BF57" s="283">
        <f t="shared" si="63"/>
        <v>79592</v>
      </c>
      <c r="BG57" s="200">
        <f t="shared" ref="BG57:BG66" si="108">IF((BF57*$BF$4)&lt;$BF$5,$BF$5,IF((BF57*$BF$4)&gt;$BF$6,$BF$6,(BF57*$BF$4)))</f>
        <v>7377</v>
      </c>
      <c r="BH57" s="200">
        <v>0</v>
      </c>
      <c r="BI57" s="124">
        <f t="shared" si="96"/>
        <v>86969</v>
      </c>
      <c r="BJ57" s="200">
        <f t="shared" ref="BJ57:BJ66" si="109">+(BI57-$BI$10)*($BI$8-$BI$9)</f>
        <v>11719.284500000002</v>
      </c>
      <c r="BK57" s="200">
        <f t="shared" si="97"/>
        <v>13332.347699999998</v>
      </c>
      <c r="BL57" s="125">
        <f t="shared" si="98"/>
        <v>112020.63220000001</v>
      </c>
      <c r="BM57" s="144"/>
      <c r="BN57" s="201">
        <f t="shared" si="99"/>
        <v>3533.3115000000107</v>
      </c>
      <c r="BO57" s="178">
        <f t="shared" si="100"/>
        <v>3.2568888946669421E-2</v>
      </c>
      <c r="BP57" s="181"/>
      <c r="BR57" s="288">
        <v>83571</v>
      </c>
      <c r="BS57" s="200">
        <f t="shared" ref="BS57:BS66" si="110">IF((BR57*$BR$4)&lt;$BR$5,$BR$5,IF((BR57*$BR$4)&gt;$BR$6,$BR$6,(BR57*$BR$4)))</f>
        <v>7745.85</v>
      </c>
      <c r="BT57" s="200">
        <v>0</v>
      </c>
      <c r="BU57" s="124">
        <f t="shared" si="101"/>
        <v>91316.85</v>
      </c>
      <c r="BV57" s="200">
        <f t="shared" ref="BV57:BV66" si="111">+(BU57-$BU$10)*($BU$8-$BU$9)</f>
        <v>11345.925300000003</v>
      </c>
      <c r="BW57" s="200">
        <f t="shared" si="102"/>
        <v>13998.873105000001</v>
      </c>
      <c r="BX57" s="125">
        <f t="shared" si="103"/>
        <v>116661.64840500001</v>
      </c>
      <c r="BY57" s="291">
        <f t="shared" si="56"/>
        <v>0.27754788305772715</v>
      </c>
      <c r="BZ57" s="201">
        <f t="shared" si="104"/>
        <v>4641.0162050000072</v>
      </c>
      <c r="CA57" s="178">
        <f t="shared" si="105"/>
        <v>4.1430012613337196E-2</v>
      </c>
      <c r="CB57" s="181"/>
      <c r="CD57" s="196" t="s">
        <v>21</v>
      </c>
      <c r="CE57" s="304" t="s">
        <v>336</v>
      </c>
      <c r="CF57" s="305" t="s">
        <v>386</v>
      </c>
      <c r="CG57" s="305" t="s">
        <v>346</v>
      </c>
      <c r="CH57" s="307">
        <v>89930.34</v>
      </c>
      <c r="CI57" s="307">
        <v>8335.44</v>
      </c>
      <c r="CJ57" s="316">
        <v>98265.78</v>
      </c>
      <c r="CK57" s="320">
        <f>+(CJ57-$CJ$10)*($CJ$8-$CJ$9)</f>
        <v>13989.867</v>
      </c>
      <c r="CL57" s="321">
        <f>+(CH57+CI57)*$CL$13</f>
        <v>14621.948063999998</v>
      </c>
      <c r="CM57" s="321">
        <f>SUM(CJ57:CL57)*$CM$8</f>
        <v>0</v>
      </c>
      <c r="CN57" s="322">
        <f t="shared" ref="CN57:CN66" si="112">SUM(CJ57:CM57)</f>
        <v>126877.59506399999</v>
      </c>
    </row>
    <row r="58" spans="1:92" ht="13.5" customHeight="1">
      <c r="A58" s="144"/>
      <c r="B58" s="149" t="s">
        <v>21</v>
      </c>
      <c r="C58" s="151" t="s">
        <v>106</v>
      </c>
      <c r="D58" s="202">
        <v>69168.84</v>
      </c>
      <c r="E58" s="202">
        <f t="shared" si="80"/>
        <v>6469</v>
      </c>
      <c r="F58" s="129">
        <f t="shared" si="57"/>
        <v>75637.84</v>
      </c>
      <c r="G58" s="202">
        <f t="shared" si="69"/>
        <v>9606.5719200000003</v>
      </c>
      <c r="H58" s="202">
        <f t="shared" si="70"/>
        <v>11194.400319999999</v>
      </c>
      <c r="I58" s="130">
        <f t="shared" si="81"/>
        <v>96438.812239999999</v>
      </c>
      <c r="J58" s="144"/>
      <c r="K58" s="203">
        <v>70206</v>
      </c>
      <c r="L58" s="202">
        <f t="shared" si="71"/>
        <v>6663</v>
      </c>
      <c r="M58" s="129">
        <f t="shared" si="58"/>
        <v>76869</v>
      </c>
      <c r="N58" s="202">
        <f t="shared" si="72"/>
        <v>9751.6320000000014</v>
      </c>
      <c r="O58" s="202">
        <f t="shared" si="67"/>
        <v>11376.611999999999</v>
      </c>
      <c r="P58" s="130">
        <f t="shared" si="82"/>
        <v>97997.243999999992</v>
      </c>
      <c r="Q58" s="144"/>
      <c r="R58" s="203">
        <f t="shared" si="73"/>
        <v>1558.4317599999922</v>
      </c>
      <c r="S58" s="180">
        <f t="shared" si="74"/>
        <v>1.6159798361282597E-2</v>
      </c>
      <c r="T58" s="183"/>
      <c r="U58" s="144"/>
      <c r="V58" s="203">
        <v>73936</v>
      </c>
      <c r="W58" s="202">
        <f t="shared" si="75"/>
        <v>6777</v>
      </c>
      <c r="X58" s="202">
        <v>0</v>
      </c>
      <c r="Y58" s="129">
        <f t="shared" si="68"/>
        <v>80713</v>
      </c>
      <c r="Z58" s="202">
        <f t="shared" si="76"/>
        <v>10282.104000000001</v>
      </c>
      <c r="AA58" s="202">
        <f t="shared" si="83"/>
        <v>11945.523999999999</v>
      </c>
      <c r="AB58" s="130">
        <f t="shared" si="84"/>
        <v>102940.62800000001</v>
      </c>
      <c r="AC58" s="144"/>
      <c r="AD58" s="203">
        <f t="shared" si="85"/>
        <v>4943.38400000002</v>
      </c>
      <c r="AE58" s="180">
        <f t="shared" si="86"/>
        <v>5.044411248953104E-2</v>
      </c>
      <c r="AF58" s="183"/>
      <c r="AG58" s="144"/>
      <c r="AH58" s="203">
        <v>75914</v>
      </c>
      <c r="AI58" s="202">
        <f t="shared" si="77"/>
        <v>6890</v>
      </c>
      <c r="AJ58" s="202">
        <v>0</v>
      </c>
      <c r="AK58" s="129">
        <f t="shared" si="78"/>
        <v>82804</v>
      </c>
      <c r="AL58" s="202">
        <f t="shared" si="79"/>
        <v>10570.662</v>
      </c>
      <c r="AM58" s="202">
        <f t="shared" si="87"/>
        <v>12254.992</v>
      </c>
      <c r="AN58" s="130">
        <f t="shared" si="88"/>
        <v>105629.65399999999</v>
      </c>
      <c r="AO58" s="144"/>
      <c r="AP58" s="203">
        <f t="shared" si="89"/>
        <v>2689.0259999999835</v>
      </c>
      <c r="AQ58" s="180">
        <f t="shared" si="90"/>
        <v>2.6122106035723652E-2</v>
      </c>
      <c r="AR58" s="183"/>
      <c r="AS58" s="144"/>
      <c r="AT58" s="203">
        <f>AT57</f>
        <v>78192</v>
      </c>
      <c r="AU58" s="202">
        <f t="shared" si="106"/>
        <v>7097</v>
      </c>
      <c r="AV58" s="202">
        <v>0</v>
      </c>
      <c r="AW58" s="129">
        <f t="shared" si="91"/>
        <v>85289</v>
      </c>
      <c r="AX58" s="202">
        <f t="shared" ref="AX58:AX66" si="113">+(AW58-$AW$10)*($AW$8-$AW$9)</f>
        <v>10549.962000000001</v>
      </c>
      <c r="AY58" s="202">
        <f t="shared" si="92"/>
        <v>12648.358699999999</v>
      </c>
      <c r="AZ58" s="130">
        <f t="shared" si="93"/>
        <v>108487.3207</v>
      </c>
      <c r="BA58" s="144"/>
      <c r="BB58" s="203">
        <f t="shared" si="94"/>
        <v>2857.6667000000016</v>
      </c>
      <c r="BC58" s="180">
        <f t="shared" si="95"/>
        <v>2.7053640637694429E-2</v>
      </c>
      <c r="BD58" s="183"/>
      <c r="BE58" s="207">
        <f t="shared" si="107"/>
        <v>1400</v>
      </c>
      <c r="BF58" s="206">
        <f t="shared" si="63"/>
        <v>79592</v>
      </c>
      <c r="BG58" s="202">
        <f t="shared" si="108"/>
        <v>7377</v>
      </c>
      <c r="BH58" s="202">
        <v>0</v>
      </c>
      <c r="BI58" s="129">
        <f t="shared" si="96"/>
        <v>86969</v>
      </c>
      <c r="BJ58" s="202">
        <f t="shared" si="109"/>
        <v>11719.284500000002</v>
      </c>
      <c r="BK58" s="202">
        <f t="shared" si="97"/>
        <v>13332.347699999998</v>
      </c>
      <c r="BL58" s="130">
        <f t="shared" si="98"/>
        <v>112020.63220000001</v>
      </c>
      <c r="BM58" s="144"/>
      <c r="BN58" s="203">
        <f t="shared" si="99"/>
        <v>3533.3115000000107</v>
      </c>
      <c r="BO58" s="180">
        <f t="shared" si="100"/>
        <v>3.2568888946669421E-2</v>
      </c>
      <c r="BP58" s="183"/>
      <c r="BR58" s="289">
        <f t="shared" ref="BR58:BR60" si="114">BR57</f>
        <v>83571</v>
      </c>
      <c r="BS58" s="202">
        <f t="shared" si="110"/>
        <v>7745.85</v>
      </c>
      <c r="BT58" s="202">
        <v>0</v>
      </c>
      <c r="BU58" s="129">
        <f t="shared" si="101"/>
        <v>91316.85</v>
      </c>
      <c r="BV58" s="202">
        <f t="shared" si="111"/>
        <v>11345.925300000003</v>
      </c>
      <c r="BW58" s="202">
        <f t="shared" si="102"/>
        <v>13998.873105000001</v>
      </c>
      <c r="BX58" s="130">
        <f t="shared" si="103"/>
        <v>116661.64840500001</v>
      </c>
      <c r="BY58" s="291">
        <f t="shared" si="56"/>
        <v>0.27754788305772715</v>
      </c>
      <c r="BZ58" s="203">
        <f t="shared" si="104"/>
        <v>4641.0162050000072</v>
      </c>
      <c r="CA58" s="180">
        <f t="shared" si="105"/>
        <v>4.1430012613337196E-2</v>
      </c>
      <c r="CB58" s="183"/>
      <c r="CD58" s="149" t="s">
        <v>21</v>
      </c>
      <c r="CE58" s="301" t="s">
        <v>354</v>
      </c>
      <c r="CF58" s="298" t="s">
        <v>387</v>
      </c>
      <c r="CG58" s="299" t="s">
        <v>341</v>
      </c>
      <c r="CH58" s="303">
        <v>92787.36</v>
      </c>
      <c r="CI58" s="300">
        <v>8335.44</v>
      </c>
      <c r="CJ58" s="318">
        <v>101122.8</v>
      </c>
      <c r="CK58" s="323">
        <f>+(CJ58-$CJ$10)*($CJ$8-$CJ$9)</f>
        <v>14418.42</v>
      </c>
      <c r="CL58" s="319">
        <f>+(CH58+CI58)*$CL$13</f>
        <v>15047.072639999999</v>
      </c>
      <c r="CM58" s="319">
        <f>SUM(CJ58:CL58)*$CM$8</f>
        <v>0</v>
      </c>
      <c r="CN58" s="324">
        <f t="shared" si="112"/>
        <v>130588.29264</v>
      </c>
    </row>
    <row r="59" spans="1:92" ht="15.5">
      <c r="A59" s="144"/>
      <c r="B59" s="149" t="s">
        <v>21</v>
      </c>
      <c r="C59" s="151" t="s">
        <v>107</v>
      </c>
      <c r="D59" s="202">
        <v>75573.25</v>
      </c>
      <c r="E59" s="202">
        <f t="shared" si="80"/>
        <v>6469</v>
      </c>
      <c r="F59" s="129">
        <f t="shared" si="57"/>
        <v>82042.25</v>
      </c>
      <c r="G59" s="202">
        <f t="shared" si="69"/>
        <v>10490.380500000001</v>
      </c>
      <c r="H59" s="202">
        <f t="shared" si="70"/>
        <v>12142.252999999999</v>
      </c>
      <c r="I59" s="130">
        <f t="shared" si="81"/>
        <v>104674.8835</v>
      </c>
      <c r="J59" s="144"/>
      <c r="K59" s="203">
        <v>76707</v>
      </c>
      <c r="L59" s="202">
        <f t="shared" si="71"/>
        <v>6663</v>
      </c>
      <c r="M59" s="129">
        <f t="shared" si="58"/>
        <v>83370</v>
      </c>
      <c r="N59" s="202">
        <f t="shared" si="72"/>
        <v>10648.77</v>
      </c>
      <c r="O59" s="202">
        <f t="shared" si="67"/>
        <v>12338.76</v>
      </c>
      <c r="P59" s="130">
        <f t="shared" si="82"/>
        <v>106357.53</v>
      </c>
      <c r="Q59" s="144"/>
      <c r="R59" s="203">
        <f t="shared" si="73"/>
        <v>1682.6465000000026</v>
      </c>
      <c r="S59" s="180">
        <f t="shared" si="74"/>
        <v>1.6074978483257663E-2</v>
      </c>
      <c r="T59" s="183"/>
      <c r="U59" s="144"/>
      <c r="V59" s="203">
        <v>77550</v>
      </c>
      <c r="W59" s="202">
        <f t="shared" si="75"/>
        <v>6777</v>
      </c>
      <c r="X59" s="202">
        <v>0</v>
      </c>
      <c r="Y59" s="129">
        <f t="shared" si="68"/>
        <v>84327</v>
      </c>
      <c r="Z59" s="202">
        <f t="shared" si="76"/>
        <v>10780.836000000001</v>
      </c>
      <c r="AA59" s="202">
        <f t="shared" si="83"/>
        <v>12480.395999999999</v>
      </c>
      <c r="AB59" s="130">
        <f t="shared" si="84"/>
        <v>107588.23199999999</v>
      </c>
      <c r="AC59" s="144"/>
      <c r="AD59" s="203">
        <f t="shared" si="85"/>
        <v>1230.7019999999902</v>
      </c>
      <c r="AE59" s="180">
        <f t="shared" si="86"/>
        <v>1.1571366879242026E-2</v>
      </c>
      <c r="AF59" s="183"/>
      <c r="AG59" s="144"/>
      <c r="AH59" s="206">
        <v>75914</v>
      </c>
      <c r="AI59" s="202">
        <f t="shared" si="77"/>
        <v>6890</v>
      </c>
      <c r="AJ59" s="202">
        <v>1949</v>
      </c>
      <c r="AK59" s="129">
        <f t="shared" si="78"/>
        <v>84753</v>
      </c>
      <c r="AL59" s="202">
        <f t="shared" si="79"/>
        <v>10839.624000000002</v>
      </c>
      <c r="AM59" s="202">
        <f t="shared" si="87"/>
        <v>12254.992</v>
      </c>
      <c r="AN59" s="130">
        <f t="shared" si="88"/>
        <v>107847.61599999999</v>
      </c>
      <c r="AO59" s="144"/>
      <c r="AP59" s="203">
        <f t="shared" si="89"/>
        <v>259.38400000000547</v>
      </c>
      <c r="AQ59" s="180">
        <f t="shared" si="90"/>
        <v>2.4108956451668944E-3</v>
      </c>
      <c r="AR59" s="183"/>
      <c r="AS59" s="144"/>
      <c r="AT59" s="203" t="e">
        <f>#REF!</f>
        <v>#REF!</v>
      </c>
      <c r="AU59" s="202" t="e">
        <f t="shared" si="106"/>
        <v>#REF!</v>
      </c>
      <c r="AV59" s="202">
        <v>1949</v>
      </c>
      <c r="AW59" s="129" t="e">
        <f t="shared" si="91"/>
        <v>#REF!</v>
      </c>
      <c r="AX59" s="202" t="e">
        <f t="shared" si="113"/>
        <v>#REF!</v>
      </c>
      <c r="AY59" s="202" t="e">
        <f t="shared" si="92"/>
        <v>#REF!</v>
      </c>
      <c r="AZ59" s="130" t="e">
        <f t="shared" si="93"/>
        <v>#REF!</v>
      </c>
      <c r="BA59" s="144"/>
      <c r="BB59" s="203" t="e">
        <f t="shared" si="94"/>
        <v>#REF!</v>
      </c>
      <c r="BC59" s="180" t="e">
        <f t="shared" si="95"/>
        <v>#REF!</v>
      </c>
      <c r="BD59" s="183"/>
      <c r="BE59" s="207" t="e">
        <f t="shared" si="107"/>
        <v>#REF!</v>
      </c>
      <c r="BF59" s="206" t="e">
        <f t="shared" si="63"/>
        <v>#REF!</v>
      </c>
      <c r="BG59" s="202" t="e">
        <f t="shared" si="108"/>
        <v>#REF!</v>
      </c>
      <c r="BH59" s="202">
        <v>1949</v>
      </c>
      <c r="BI59" s="129" t="e">
        <f t="shared" si="96"/>
        <v>#REF!</v>
      </c>
      <c r="BJ59" s="202" t="e">
        <f t="shared" si="109"/>
        <v>#REF!</v>
      </c>
      <c r="BK59" s="202" t="e">
        <f t="shared" si="97"/>
        <v>#REF!</v>
      </c>
      <c r="BL59" s="130" t="e">
        <f t="shared" si="98"/>
        <v>#REF!</v>
      </c>
      <c r="BM59" s="144"/>
      <c r="BN59" s="203" t="e">
        <f t="shared" si="99"/>
        <v>#REF!</v>
      </c>
      <c r="BO59" s="180" t="e">
        <f t="shared" si="100"/>
        <v>#REF!</v>
      </c>
      <c r="BP59" s="183"/>
      <c r="BR59" s="289" t="e">
        <f>#REF!</f>
        <v>#REF!</v>
      </c>
      <c r="BS59" s="202" t="e">
        <f t="shared" si="110"/>
        <v>#REF!</v>
      </c>
      <c r="BT59" s="202">
        <v>1949</v>
      </c>
      <c r="BU59" s="129" t="e">
        <f t="shared" si="101"/>
        <v>#REF!</v>
      </c>
      <c r="BV59" s="202" t="e">
        <f t="shared" si="111"/>
        <v>#REF!</v>
      </c>
      <c r="BW59" s="202" t="e">
        <f t="shared" si="102"/>
        <v>#REF!</v>
      </c>
      <c r="BX59" s="130" t="e">
        <f t="shared" si="103"/>
        <v>#REF!</v>
      </c>
      <c r="BY59" s="291" t="e">
        <f t="shared" si="56"/>
        <v>#REF!</v>
      </c>
      <c r="BZ59" s="203" t="e">
        <f t="shared" si="104"/>
        <v>#REF!</v>
      </c>
      <c r="CA59" s="180" t="e">
        <f t="shared" si="105"/>
        <v>#REF!</v>
      </c>
      <c r="CB59" s="183"/>
      <c r="CD59" s="149" t="s">
        <v>21</v>
      </c>
      <c r="CE59" s="301" t="s">
        <v>339</v>
      </c>
      <c r="CF59" s="298" t="s">
        <v>388</v>
      </c>
      <c r="CG59" s="299" t="s">
        <v>350</v>
      </c>
      <c r="CH59" s="303">
        <v>94685.58</v>
      </c>
      <c r="CI59" s="300">
        <v>8335.44</v>
      </c>
      <c r="CJ59" s="318">
        <v>103021.02</v>
      </c>
      <c r="CK59" s="323">
        <f>+(CJ59-$CJ$10)*($CJ$8-$CJ$9)</f>
        <v>14703.153</v>
      </c>
      <c r="CL59" s="319">
        <f>+(CH59+CI59)*$CL$13</f>
        <v>15329.527775999999</v>
      </c>
      <c r="CM59" s="319">
        <f>SUM(CJ59:CL59)*$CM$8</f>
        <v>0</v>
      </c>
      <c r="CN59" s="324">
        <f t="shared" si="112"/>
        <v>133053.70077600001</v>
      </c>
    </row>
    <row r="60" spans="1:92" ht="15.5">
      <c r="A60" s="144"/>
      <c r="B60" s="149" t="s">
        <v>21</v>
      </c>
      <c r="C60" s="151" t="s">
        <v>108</v>
      </c>
      <c r="D60" s="202">
        <v>79415.289999999994</v>
      </c>
      <c r="E60" s="202">
        <f t="shared" si="80"/>
        <v>6469</v>
      </c>
      <c r="F60" s="129">
        <f t="shared" si="57"/>
        <v>85884.29</v>
      </c>
      <c r="G60" s="202">
        <f t="shared" si="69"/>
        <v>11020.58202</v>
      </c>
      <c r="H60" s="202">
        <f t="shared" si="70"/>
        <v>12710.874919999998</v>
      </c>
      <c r="I60" s="130">
        <f t="shared" si="81"/>
        <v>109615.74694</v>
      </c>
      <c r="J60" s="144"/>
      <c r="K60" s="203">
        <v>80606</v>
      </c>
      <c r="L60" s="202">
        <f t="shared" si="71"/>
        <v>6663</v>
      </c>
      <c r="M60" s="129">
        <f t="shared" si="58"/>
        <v>87269</v>
      </c>
      <c r="N60" s="202">
        <f t="shared" si="72"/>
        <v>11186.832</v>
      </c>
      <c r="O60" s="202">
        <f t="shared" si="67"/>
        <v>12915.812</v>
      </c>
      <c r="P60" s="130">
        <f t="shared" si="82"/>
        <v>111371.644</v>
      </c>
      <c r="Q60" s="144"/>
      <c r="R60" s="203">
        <f t="shared" si="73"/>
        <v>1755.897060000003</v>
      </c>
      <c r="S60" s="180">
        <f t="shared" si="74"/>
        <v>1.6018657072702541E-2</v>
      </c>
      <c r="T60" s="183"/>
      <c r="U60" s="144"/>
      <c r="V60" s="203">
        <v>81493</v>
      </c>
      <c r="W60" s="202">
        <f t="shared" si="75"/>
        <v>6777</v>
      </c>
      <c r="X60" s="202">
        <v>0</v>
      </c>
      <c r="Y60" s="129">
        <f t="shared" si="68"/>
        <v>88270</v>
      </c>
      <c r="Z60" s="202">
        <f t="shared" si="76"/>
        <v>11324.970000000001</v>
      </c>
      <c r="AA60" s="202">
        <f t="shared" si="83"/>
        <v>13063.96</v>
      </c>
      <c r="AB60" s="130">
        <f t="shared" si="84"/>
        <v>112658.93</v>
      </c>
      <c r="AC60" s="144"/>
      <c r="AD60" s="203">
        <f t="shared" si="85"/>
        <v>1287.2859999999928</v>
      </c>
      <c r="AE60" s="180">
        <f t="shared" si="86"/>
        <v>1.1558471741693898E-2</v>
      </c>
      <c r="AF60" s="183"/>
      <c r="AG60" s="144"/>
      <c r="AH60" s="206">
        <v>75914</v>
      </c>
      <c r="AI60" s="202">
        <f t="shared" si="77"/>
        <v>6890</v>
      </c>
      <c r="AJ60" s="202">
        <v>5907</v>
      </c>
      <c r="AK60" s="129">
        <f t="shared" si="78"/>
        <v>88711</v>
      </c>
      <c r="AL60" s="202">
        <f t="shared" si="79"/>
        <v>11385.828000000001</v>
      </c>
      <c r="AM60" s="202">
        <f t="shared" si="87"/>
        <v>12254.992</v>
      </c>
      <c r="AN60" s="130">
        <f t="shared" si="88"/>
        <v>112351.82</v>
      </c>
      <c r="AO60" s="144"/>
      <c r="AP60" s="203">
        <f t="shared" si="89"/>
        <v>-307.10999999998603</v>
      </c>
      <c r="AQ60" s="180">
        <f t="shared" si="90"/>
        <v>-2.7260155941476283E-3</v>
      </c>
      <c r="AR60" s="183"/>
      <c r="AS60" s="144"/>
      <c r="AT60" s="203" t="e">
        <f>AT59</f>
        <v>#REF!</v>
      </c>
      <c r="AU60" s="202" t="e">
        <f t="shared" si="106"/>
        <v>#REF!</v>
      </c>
      <c r="AV60" s="202">
        <v>5907</v>
      </c>
      <c r="AW60" s="129" t="e">
        <f t="shared" si="91"/>
        <v>#REF!</v>
      </c>
      <c r="AX60" s="202" t="e">
        <f t="shared" si="113"/>
        <v>#REF!</v>
      </c>
      <c r="AY60" s="202" t="e">
        <f t="shared" si="92"/>
        <v>#REF!</v>
      </c>
      <c r="AZ60" s="130" t="e">
        <f t="shared" si="93"/>
        <v>#REF!</v>
      </c>
      <c r="BA60" s="144"/>
      <c r="BB60" s="203" t="e">
        <f t="shared" si="94"/>
        <v>#REF!</v>
      </c>
      <c r="BC60" s="180" t="e">
        <f t="shared" si="95"/>
        <v>#REF!</v>
      </c>
      <c r="BD60" s="183"/>
      <c r="BE60" s="207" t="e">
        <f t="shared" si="107"/>
        <v>#REF!</v>
      </c>
      <c r="BF60" s="206" t="e">
        <f t="shared" si="63"/>
        <v>#REF!</v>
      </c>
      <c r="BG60" s="202" t="e">
        <f t="shared" si="108"/>
        <v>#REF!</v>
      </c>
      <c r="BH60" s="202">
        <v>5907</v>
      </c>
      <c r="BI60" s="129" t="e">
        <f t="shared" si="96"/>
        <v>#REF!</v>
      </c>
      <c r="BJ60" s="202" t="e">
        <f t="shared" si="109"/>
        <v>#REF!</v>
      </c>
      <c r="BK60" s="202" t="e">
        <f t="shared" si="97"/>
        <v>#REF!</v>
      </c>
      <c r="BL60" s="130" t="e">
        <f t="shared" si="98"/>
        <v>#REF!</v>
      </c>
      <c r="BM60" s="144"/>
      <c r="BN60" s="203" t="e">
        <f t="shared" si="99"/>
        <v>#REF!</v>
      </c>
      <c r="BO60" s="180" t="e">
        <f t="shared" si="100"/>
        <v>#REF!</v>
      </c>
      <c r="BP60" s="183"/>
      <c r="BR60" s="289" t="e">
        <f t="shared" si="114"/>
        <v>#REF!</v>
      </c>
      <c r="BS60" s="202" t="e">
        <f t="shared" si="110"/>
        <v>#REF!</v>
      </c>
      <c r="BT60" s="202">
        <v>5907</v>
      </c>
      <c r="BU60" s="129" t="e">
        <f t="shared" si="101"/>
        <v>#REF!</v>
      </c>
      <c r="BV60" s="202" t="e">
        <f t="shared" si="111"/>
        <v>#REF!</v>
      </c>
      <c r="BW60" s="202" t="e">
        <f t="shared" si="102"/>
        <v>#REF!</v>
      </c>
      <c r="BX60" s="130" t="e">
        <f t="shared" si="103"/>
        <v>#REF!</v>
      </c>
      <c r="BY60" s="291" t="e">
        <f t="shared" si="56"/>
        <v>#REF!</v>
      </c>
      <c r="BZ60" s="203" t="e">
        <f t="shared" si="104"/>
        <v>#REF!</v>
      </c>
      <c r="CA60" s="180" t="e">
        <f t="shared" si="105"/>
        <v>#REF!</v>
      </c>
      <c r="CB60" s="183"/>
      <c r="CD60" s="149" t="s">
        <v>21</v>
      </c>
      <c r="CE60" s="301" t="s">
        <v>348</v>
      </c>
      <c r="CF60" s="298" t="s">
        <v>389</v>
      </c>
      <c r="CG60" s="299" t="s">
        <v>358</v>
      </c>
      <c r="CH60" s="303">
        <v>97649.7</v>
      </c>
      <c r="CI60" s="300">
        <v>8335.44</v>
      </c>
      <c r="CJ60" s="318">
        <v>105985.14</v>
      </c>
      <c r="CK60" s="323">
        <f>+(CJ60-$CJ$10)*($CJ$8-$CJ$9)</f>
        <v>15147.770999999999</v>
      </c>
      <c r="CL60" s="319">
        <f>+(CH60+CI60)*$CL$13</f>
        <v>15770.588831999999</v>
      </c>
      <c r="CM60" s="319">
        <f>SUM(CJ60:CL60)*$CM$8</f>
        <v>0</v>
      </c>
      <c r="CN60" s="324">
        <f t="shared" si="112"/>
        <v>136903.499832</v>
      </c>
    </row>
    <row r="61" spans="1:92" ht="13" thickBot="1">
      <c r="A61" s="144"/>
      <c r="B61" s="198" t="s">
        <v>21</v>
      </c>
      <c r="C61" s="199" t="s">
        <v>109</v>
      </c>
      <c r="D61" s="204">
        <v>83258.34</v>
      </c>
      <c r="E61" s="204">
        <f t="shared" si="80"/>
        <v>6469</v>
      </c>
      <c r="F61" s="127">
        <f t="shared" si="57"/>
        <v>89727.34</v>
      </c>
      <c r="G61" s="204">
        <f t="shared" si="69"/>
        <v>11550.922920000001</v>
      </c>
      <c r="H61" s="204">
        <f t="shared" si="70"/>
        <v>13279.646319999998</v>
      </c>
      <c r="I61" s="128">
        <f t="shared" si="81"/>
        <v>114557.90923999999</v>
      </c>
      <c r="J61" s="144"/>
      <c r="K61" s="205">
        <v>85333</v>
      </c>
      <c r="L61" s="204">
        <f t="shared" si="71"/>
        <v>6663</v>
      </c>
      <c r="M61" s="127">
        <f t="shared" si="58"/>
        <v>91996</v>
      </c>
      <c r="N61" s="204">
        <f t="shared" si="72"/>
        <v>11839.158000000001</v>
      </c>
      <c r="O61" s="204">
        <f t="shared" si="67"/>
        <v>13615.407999999999</v>
      </c>
      <c r="P61" s="128">
        <f t="shared" si="82"/>
        <v>117450.56599999999</v>
      </c>
      <c r="Q61" s="144"/>
      <c r="R61" s="205">
        <f t="shared" si="73"/>
        <v>2892.656759999998</v>
      </c>
      <c r="S61" s="179">
        <f t="shared" si="74"/>
        <v>2.5250607131279364E-2</v>
      </c>
      <c r="T61" s="182">
        <f>SUM(R57:R61)/SUM(I57:I61)</f>
        <v>2.2953036077222631E-2</v>
      </c>
      <c r="U61" s="144"/>
      <c r="V61" s="205">
        <v>86687</v>
      </c>
      <c r="W61" s="204">
        <f t="shared" si="75"/>
        <v>6777</v>
      </c>
      <c r="X61" s="204">
        <v>799</v>
      </c>
      <c r="Y61" s="127">
        <f t="shared" si="68"/>
        <v>94263</v>
      </c>
      <c r="Z61" s="204">
        <f t="shared" si="76"/>
        <v>12152.004000000001</v>
      </c>
      <c r="AA61" s="204">
        <f t="shared" si="83"/>
        <v>13832.671999999999</v>
      </c>
      <c r="AB61" s="128">
        <f t="shared" si="84"/>
        <v>120247.67600000001</v>
      </c>
      <c r="AC61" s="144"/>
      <c r="AD61" s="205">
        <f t="shared" si="85"/>
        <v>2797.1100000000151</v>
      </c>
      <c r="AE61" s="179">
        <f t="shared" si="86"/>
        <v>2.3815210903283476E-2</v>
      </c>
      <c r="AF61" s="182">
        <f>SUM(AD57:AD61)/SUM(P57:P61)</f>
        <v>2.8619359145564641E-2</v>
      </c>
      <c r="AG61" s="144"/>
      <c r="AH61" s="205">
        <v>87754</v>
      </c>
      <c r="AI61" s="204">
        <f t="shared" si="77"/>
        <v>6890</v>
      </c>
      <c r="AJ61" s="204">
        <v>0</v>
      </c>
      <c r="AK61" s="127">
        <f t="shared" si="78"/>
        <v>94644</v>
      </c>
      <c r="AL61" s="204">
        <f t="shared" si="79"/>
        <v>12204.582</v>
      </c>
      <c r="AM61" s="204">
        <f t="shared" si="87"/>
        <v>14007.312</v>
      </c>
      <c r="AN61" s="128">
        <f t="shared" si="88"/>
        <v>120855.894</v>
      </c>
      <c r="AO61" s="144"/>
      <c r="AP61" s="205">
        <f t="shared" si="89"/>
        <v>608.21799999999348</v>
      </c>
      <c r="AQ61" s="179">
        <f t="shared" si="90"/>
        <v>5.0580436997384754E-3</v>
      </c>
      <c r="AR61" s="182">
        <f>SUM(AP57:AP61)/SUM(AB57:AB61)</f>
        <v>1.0868967484510732E-2</v>
      </c>
      <c r="AS61" s="144"/>
      <c r="AT61" s="205">
        <v>90387</v>
      </c>
      <c r="AU61" s="204">
        <f t="shared" si="106"/>
        <v>7097</v>
      </c>
      <c r="AV61" s="204">
        <v>0</v>
      </c>
      <c r="AW61" s="127">
        <f t="shared" si="91"/>
        <v>97484</v>
      </c>
      <c r="AX61" s="204">
        <f t="shared" si="113"/>
        <v>12232.872000000001</v>
      </c>
      <c r="AY61" s="204">
        <f t="shared" si="92"/>
        <v>14456.877199999999</v>
      </c>
      <c r="AZ61" s="128">
        <f t="shared" si="93"/>
        <v>124173.74920000001</v>
      </c>
      <c r="BA61" s="144"/>
      <c r="BB61" s="205">
        <f t="shared" si="94"/>
        <v>3317.8552000000054</v>
      </c>
      <c r="BC61" s="179">
        <f t="shared" si="95"/>
        <v>2.7452986281331099E-2</v>
      </c>
      <c r="BD61" s="182" t="e">
        <f>SUM(BB57:BB61)/SUM(AN57:AN61)</f>
        <v>#REF!</v>
      </c>
      <c r="BE61" s="207">
        <f t="shared" si="107"/>
        <v>1400</v>
      </c>
      <c r="BF61" s="284">
        <f t="shared" si="63"/>
        <v>91787</v>
      </c>
      <c r="BG61" s="204">
        <f t="shared" si="108"/>
        <v>7377</v>
      </c>
      <c r="BH61" s="204">
        <v>0</v>
      </c>
      <c r="BI61" s="127">
        <f t="shared" si="96"/>
        <v>99164</v>
      </c>
      <c r="BJ61" s="204">
        <f t="shared" si="109"/>
        <v>13554.632000000001</v>
      </c>
      <c r="BK61" s="204">
        <f t="shared" si="97"/>
        <v>15201.841199999999</v>
      </c>
      <c r="BL61" s="128">
        <f t="shared" si="98"/>
        <v>127920.47319999999</v>
      </c>
      <c r="BM61" s="144"/>
      <c r="BN61" s="205">
        <f t="shared" si="99"/>
        <v>3746.7239999999874</v>
      </c>
      <c r="BO61" s="179">
        <f t="shared" si="100"/>
        <v>3.0173237291606134E-2</v>
      </c>
      <c r="BP61" s="182" t="e">
        <f>SUM(BN57:BN61)/SUM(AZ57:AZ61)</f>
        <v>#REF!</v>
      </c>
      <c r="BR61" s="290">
        <v>96376</v>
      </c>
      <c r="BS61" s="204">
        <f t="shared" si="110"/>
        <v>7745.85</v>
      </c>
      <c r="BT61" s="204">
        <v>0</v>
      </c>
      <c r="BU61" s="127">
        <f t="shared" si="101"/>
        <v>104121.85</v>
      </c>
      <c r="BV61" s="204">
        <f>+(BU61-$BU$10)*($BU$8-$BU$9)</f>
        <v>13113.015300000003</v>
      </c>
      <c r="BW61" s="204">
        <f t="shared" si="102"/>
        <v>15961.879605</v>
      </c>
      <c r="BX61" s="128">
        <f t="shared" si="103"/>
        <v>133196.744905</v>
      </c>
      <c r="BY61" s="291">
        <f t="shared" si="56"/>
        <v>0.27923913093169195</v>
      </c>
      <c r="BZ61" s="205">
        <f t="shared" si="104"/>
        <v>5276.2717050000065</v>
      </c>
      <c r="CA61" s="179">
        <f t="shared" si="105"/>
        <v>4.1246499274206927E-2</v>
      </c>
      <c r="CB61" s="182" t="e">
        <f>SUM(BZ57:BZ61)/SUM(BL57:BL61)</f>
        <v>#REF!</v>
      </c>
      <c r="CD61" s="198" t="s">
        <v>21</v>
      </c>
      <c r="CE61" s="308" t="s">
        <v>342</v>
      </c>
      <c r="CF61" s="312" t="s">
        <v>390</v>
      </c>
      <c r="CG61" s="309" t="s">
        <v>360</v>
      </c>
      <c r="CH61" s="311">
        <v>103710.54000000001</v>
      </c>
      <c r="CI61" s="311">
        <v>8335.44</v>
      </c>
      <c r="CJ61" s="317">
        <v>112045.98000000001</v>
      </c>
      <c r="CK61" s="325">
        <f>+(CJ61-$CJ$10)*($CJ$8-$CJ$9)</f>
        <v>16056.897000000001</v>
      </c>
      <c r="CL61" s="326">
        <f>+(CH61+CI61)*$CL$13</f>
        <v>16672.441824000001</v>
      </c>
      <c r="CM61" s="326">
        <f>SUM(CJ61:CL61)*$CM$8</f>
        <v>0</v>
      </c>
      <c r="CN61" s="327">
        <f t="shared" si="112"/>
        <v>144775.31882400002</v>
      </c>
    </row>
    <row r="62" spans="1:92">
      <c r="A62" s="144"/>
      <c r="B62" s="196" t="s">
        <v>22</v>
      </c>
      <c r="C62" s="197" t="s">
        <v>108</v>
      </c>
      <c r="D62" s="200">
        <v>79415.289999999994</v>
      </c>
      <c r="E62" s="200">
        <f t="shared" si="80"/>
        <v>6469</v>
      </c>
      <c r="F62" s="124">
        <f t="shared" si="57"/>
        <v>85884.29</v>
      </c>
      <c r="G62" s="200">
        <f t="shared" si="69"/>
        <v>11020.58202</v>
      </c>
      <c r="H62" s="200">
        <f t="shared" si="70"/>
        <v>12710.874919999998</v>
      </c>
      <c r="I62" s="125">
        <f t="shared" si="81"/>
        <v>109615.74694</v>
      </c>
      <c r="J62" s="144"/>
      <c r="K62" s="201">
        <v>84507</v>
      </c>
      <c r="L62" s="200">
        <f t="shared" si="71"/>
        <v>6663</v>
      </c>
      <c r="M62" s="124">
        <f t="shared" si="58"/>
        <v>91170</v>
      </c>
      <c r="N62" s="200">
        <f t="shared" si="72"/>
        <v>11725.17</v>
      </c>
      <c r="O62" s="200">
        <f t="shared" si="67"/>
        <v>13493.16</v>
      </c>
      <c r="P62" s="125">
        <f t="shared" si="82"/>
        <v>116388.33</v>
      </c>
      <c r="Q62" s="144"/>
      <c r="R62" s="201">
        <f t="shared" si="73"/>
        <v>6772.5830600000045</v>
      </c>
      <c r="S62" s="178">
        <f t="shared" si="74"/>
        <v>6.1784764042223703E-2</v>
      </c>
      <c r="T62" s="181"/>
      <c r="U62" s="144"/>
      <c r="V62" s="201">
        <v>89537</v>
      </c>
      <c r="W62" s="200">
        <f t="shared" si="75"/>
        <v>6777</v>
      </c>
      <c r="X62" s="200">
        <v>0</v>
      </c>
      <c r="Y62" s="124">
        <f t="shared" si="68"/>
        <v>96314</v>
      </c>
      <c r="Z62" s="200">
        <f t="shared" si="76"/>
        <v>12435.042000000001</v>
      </c>
      <c r="AA62" s="200">
        <f t="shared" si="83"/>
        <v>14254.472</v>
      </c>
      <c r="AB62" s="125">
        <f t="shared" si="84"/>
        <v>123003.514</v>
      </c>
      <c r="AC62" s="144"/>
      <c r="AD62" s="201">
        <f t="shared" si="85"/>
        <v>6615.1839999999938</v>
      </c>
      <c r="AE62" s="178">
        <f t="shared" si="86"/>
        <v>5.6837176029589855E-2</v>
      </c>
      <c r="AF62" s="181"/>
      <c r="AG62" s="144"/>
      <c r="AH62" s="201">
        <v>91004</v>
      </c>
      <c r="AI62" s="200">
        <f t="shared" si="77"/>
        <v>6890</v>
      </c>
      <c r="AJ62" s="200">
        <v>0</v>
      </c>
      <c r="AK62" s="124">
        <f t="shared" si="78"/>
        <v>97894</v>
      </c>
      <c r="AL62" s="200">
        <f t="shared" si="79"/>
        <v>12653.082</v>
      </c>
      <c r="AM62" s="200">
        <f t="shared" si="87"/>
        <v>14488.312</v>
      </c>
      <c r="AN62" s="125">
        <f t="shared" si="88"/>
        <v>125035.394</v>
      </c>
      <c r="AO62" s="144"/>
      <c r="AP62" s="201">
        <f t="shared" si="89"/>
        <v>2031.8800000000047</v>
      </c>
      <c r="AQ62" s="178">
        <f t="shared" si="90"/>
        <v>1.6518877663934096E-2</v>
      </c>
      <c r="AR62" s="181"/>
      <c r="AS62" s="144"/>
      <c r="AT62" s="201">
        <v>93735</v>
      </c>
      <c r="AU62" s="200">
        <f t="shared" si="106"/>
        <v>7097</v>
      </c>
      <c r="AV62" s="200">
        <v>0</v>
      </c>
      <c r="AW62" s="124">
        <f t="shared" si="91"/>
        <v>100832</v>
      </c>
      <c r="AX62" s="200">
        <f t="shared" si="113"/>
        <v>12694.896000000001</v>
      </c>
      <c r="AY62" s="200">
        <f t="shared" si="92"/>
        <v>14953.3856</v>
      </c>
      <c r="AZ62" s="125">
        <f t="shared" si="93"/>
        <v>128480.2816</v>
      </c>
      <c r="BA62" s="144"/>
      <c r="BB62" s="201">
        <f t="shared" si="94"/>
        <v>3444.8876000000018</v>
      </c>
      <c r="BC62" s="178">
        <f t="shared" si="95"/>
        <v>2.7551299594417256E-2</v>
      </c>
      <c r="BD62" s="181"/>
      <c r="BE62" s="207">
        <f t="shared" si="107"/>
        <v>1400</v>
      </c>
      <c r="BF62" s="283">
        <f t="shared" si="63"/>
        <v>95135</v>
      </c>
      <c r="BG62" s="200">
        <f t="shared" si="108"/>
        <v>7377</v>
      </c>
      <c r="BH62" s="200">
        <v>0</v>
      </c>
      <c r="BI62" s="124">
        <f t="shared" si="96"/>
        <v>102512</v>
      </c>
      <c r="BJ62" s="200">
        <f t="shared" si="109"/>
        <v>14058.506000000001</v>
      </c>
      <c r="BK62" s="200">
        <f t="shared" si="97"/>
        <v>15715.089599999999</v>
      </c>
      <c r="BL62" s="125">
        <f t="shared" si="98"/>
        <v>132285.5956</v>
      </c>
      <c r="BM62" s="144"/>
      <c r="BN62" s="201">
        <f t="shared" si="99"/>
        <v>3805.3139999999985</v>
      </c>
      <c r="BO62" s="178">
        <f t="shared" si="100"/>
        <v>2.9617883402895642E-2</v>
      </c>
      <c r="BP62" s="181"/>
      <c r="BR62" s="288">
        <v>99891</v>
      </c>
      <c r="BS62" s="200">
        <f t="shared" si="110"/>
        <v>7745.85</v>
      </c>
      <c r="BT62" s="200">
        <v>0</v>
      </c>
      <c r="BU62" s="124">
        <f t="shared" si="101"/>
        <v>107636.85</v>
      </c>
      <c r="BV62" s="200">
        <f t="shared" si="111"/>
        <v>13598.085300000002</v>
      </c>
      <c r="BW62" s="200">
        <f t="shared" si="102"/>
        <v>16500.729104999999</v>
      </c>
      <c r="BX62" s="125">
        <f t="shared" si="103"/>
        <v>137735.66440500002</v>
      </c>
      <c r="BY62" s="291">
        <f t="shared" si="56"/>
        <v>0.27963299190751134</v>
      </c>
      <c r="BZ62" s="201">
        <f t="shared" si="104"/>
        <v>5450.0688050000172</v>
      </c>
      <c r="CA62" s="178">
        <f t="shared" si="105"/>
        <v>4.1199261191518705E-2</v>
      </c>
      <c r="CB62" s="181"/>
      <c r="CD62" s="196" t="s">
        <v>22</v>
      </c>
      <c r="CE62" s="304" t="s">
        <v>336</v>
      </c>
      <c r="CF62" s="305" t="s">
        <v>391</v>
      </c>
      <c r="CG62" s="305" t="s">
        <v>346</v>
      </c>
      <c r="CH62" s="307">
        <v>107492.7</v>
      </c>
      <c r="CI62" s="307">
        <v>8335.44</v>
      </c>
      <c r="CJ62" s="316">
        <v>115828.14</v>
      </c>
      <c r="CK62" s="323">
        <f>+(CJ62-$CJ$10)*($CJ$8-$CJ$9)</f>
        <v>16624.220999999998</v>
      </c>
      <c r="CL62" s="319">
        <f>+(CH62+CI62)*$CL$13</f>
        <v>17235.227231999997</v>
      </c>
      <c r="CM62" s="319">
        <f>SUM(CJ62:CL62)*$CM$8</f>
        <v>0</v>
      </c>
      <c r="CN62" s="324">
        <f t="shared" si="112"/>
        <v>149687.58823200001</v>
      </c>
    </row>
    <row r="63" spans="1:92" ht="15.5">
      <c r="A63" s="144"/>
      <c r="B63" s="149" t="s">
        <v>22</v>
      </c>
      <c r="C63" s="151" t="s">
        <v>109</v>
      </c>
      <c r="D63" s="202">
        <v>83258.34</v>
      </c>
      <c r="E63" s="202">
        <f t="shared" si="80"/>
        <v>6469</v>
      </c>
      <c r="F63" s="129">
        <f t="shared" si="57"/>
        <v>89727.34</v>
      </c>
      <c r="G63" s="202">
        <f t="shared" si="69"/>
        <v>11550.922920000001</v>
      </c>
      <c r="H63" s="202">
        <f t="shared" si="70"/>
        <v>13279.646319999998</v>
      </c>
      <c r="I63" s="130">
        <f t="shared" si="81"/>
        <v>114557.90923999999</v>
      </c>
      <c r="J63" s="144"/>
      <c r="K63" s="203">
        <v>84507</v>
      </c>
      <c r="L63" s="202">
        <f t="shared" si="71"/>
        <v>6663</v>
      </c>
      <c r="M63" s="129">
        <f t="shared" si="58"/>
        <v>91170</v>
      </c>
      <c r="N63" s="202">
        <f t="shared" si="72"/>
        <v>11725.17</v>
      </c>
      <c r="O63" s="202">
        <f t="shared" si="67"/>
        <v>13493.16</v>
      </c>
      <c r="P63" s="130">
        <f t="shared" si="82"/>
        <v>116388.33</v>
      </c>
      <c r="Q63" s="144"/>
      <c r="R63" s="203">
        <f t="shared" si="73"/>
        <v>1830.4207600000082</v>
      </c>
      <c r="S63" s="180">
        <f t="shared" si="74"/>
        <v>1.5978126452755505E-2</v>
      </c>
      <c r="T63" s="183"/>
      <c r="U63" s="144"/>
      <c r="V63" s="203">
        <v>89537</v>
      </c>
      <c r="W63" s="202">
        <f t="shared" si="75"/>
        <v>6777</v>
      </c>
      <c r="X63" s="202">
        <v>0</v>
      </c>
      <c r="Y63" s="129">
        <f t="shared" si="68"/>
        <v>96314</v>
      </c>
      <c r="Z63" s="202">
        <f t="shared" si="76"/>
        <v>12435.042000000001</v>
      </c>
      <c r="AA63" s="202">
        <f t="shared" si="83"/>
        <v>14254.472</v>
      </c>
      <c r="AB63" s="130">
        <f t="shared" si="84"/>
        <v>123003.514</v>
      </c>
      <c r="AC63" s="144"/>
      <c r="AD63" s="203">
        <f t="shared" si="85"/>
        <v>6615.1839999999938</v>
      </c>
      <c r="AE63" s="180">
        <f t="shared" si="86"/>
        <v>5.6837176029589855E-2</v>
      </c>
      <c r="AF63" s="183"/>
      <c r="AG63" s="144"/>
      <c r="AH63" s="203">
        <v>91004</v>
      </c>
      <c r="AI63" s="202">
        <f t="shared" si="77"/>
        <v>6890</v>
      </c>
      <c r="AJ63" s="202">
        <v>0</v>
      </c>
      <c r="AK63" s="129">
        <f t="shared" si="78"/>
        <v>97894</v>
      </c>
      <c r="AL63" s="202">
        <f t="shared" si="79"/>
        <v>12653.082</v>
      </c>
      <c r="AM63" s="202">
        <f t="shared" si="87"/>
        <v>14488.312</v>
      </c>
      <c r="AN63" s="130">
        <f t="shared" si="88"/>
        <v>125035.394</v>
      </c>
      <c r="AO63" s="144"/>
      <c r="AP63" s="203">
        <f t="shared" si="89"/>
        <v>2031.8800000000047</v>
      </c>
      <c r="AQ63" s="180">
        <f t="shared" si="90"/>
        <v>1.6518877663934096E-2</v>
      </c>
      <c r="AR63" s="183"/>
      <c r="AS63" s="144"/>
      <c r="AT63" s="203">
        <f>AT62</f>
        <v>93735</v>
      </c>
      <c r="AU63" s="202">
        <f t="shared" si="106"/>
        <v>7097</v>
      </c>
      <c r="AV63" s="202">
        <v>0</v>
      </c>
      <c r="AW63" s="129">
        <f t="shared" si="91"/>
        <v>100832</v>
      </c>
      <c r="AX63" s="202">
        <f t="shared" si="113"/>
        <v>12694.896000000001</v>
      </c>
      <c r="AY63" s="202">
        <f t="shared" si="92"/>
        <v>14953.3856</v>
      </c>
      <c r="AZ63" s="130">
        <f t="shared" si="93"/>
        <v>128480.2816</v>
      </c>
      <c r="BA63" s="144"/>
      <c r="BB63" s="203">
        <f t="shared" si="94"/>
        <v>3444.8876000000018</v>
      </c>
      <c r="BC63" s="180">
        <f t="shared" si="95"/>
        <v>2.7551299594417256E-2</v>
      </c>
      <c r="BD63" s="183"/>
      <c r="BE63" s="207">
        <f t="shared" si="107"/>
        <v>1400</v>
      </c>
      <c r="BF63" s="206">
        <f t="shared" si="63"/>
        <v>95135</v>
      </c>
      <c r="BG63" s="202">
        <f t="shared" si="108"/>
        <v>7377</v>
      </c>
      <c r="BH63" s="202">
        <v>0</v>
      </c>
      <c r="BI63" s="129">
        <f t="shared" si="96"/>
        <v>102512</v>
      </c>
      <c r="BJ63" s="202">
        <f t="shared" si="109"/>
        <v>14058.506000000001</v>
      </c>
      <c r="BK63" s="202">
        <f t="shared" si="97"/>
        <v>15715.089599999999</v>
      </c>
      <c r="BL63" s="130">
        <f t="shared" si="98"/>
        <v>132285.5956</v>
      </c>
      <c r="BM63" s="144"/>
      <c r="BN63" s="203">
        <f t="shared" si="99"/>
        <v>3805.3139999999985</v>
      </c>
      <c r="BO63" s="180">
        <f t="shared" si="100"/>
        <v>2.9617883402895642E-2</v>
      </c>
      <c r="BP63" s="183"/>
      <c r="BR63" s="289">
        <f t="shared" ref="BR63:BR65" si="115">BR62</f>
        <v>99891</v>
      </c>
      <c r="BS63" s="202">
        <f t="shared" si="110"/>
        <v>7745.85</v>
      </c>
      <c r="BT63" s="202">
        <v>0</v>
      </c>
      <c r="BU63" s="129">
        <f t="shared" si="101"/>
        <v>107636.85</v>
      </c>
      <c r="BV63" s="202">
        <f t="shared" si="111"/>
        <v>13598.085300000002</v>
      </c>
      <c r="BW63" s="202">
        <f t="shared" si="102"/>
        <v>16500.729104999999</v>
      </c>
      <c r="BX63" s="130">
        <f t="shared" si="103"/>
        <v>137735.66440500002</v>
      </c>
      <c r="BY63" s="291">
        <f t="shared" si="56"/>
        <v>0.27963299190751134</v>
      </c>
      <c r="BZ63" s="203">
        <f t="shared" si="104"/>
        <v>5450.0688050000172</v>
      </c>
      <c r="CA63" s="180">
        <f t="shared" si="105"/>
        <v>4.1199261191518705E-2</v>
      </c>
      <c r="CB63" s="183"/>
      <c r="CD63" s="149" t="s">
        <v>22</v>
      </c>
      <c r="CE63" s="301" t="s">
        <v>354</v>
      </c>
      <c r="CF63" s="298" t="s">
        <v>392</v>
      </c>
      <c r="CG63" s="299" t="s">
        <v>341</v>
      </c>
      <c r="CH63" s="303">
        <v>111346.26</v>
      </c>
      <c r="CI63" s="300">
        <v>8335.44</v>
      </c>
      <c r="CJ63" s="318">
        <v>119681.7</v>
      </c>
      <c r="CK63" s="323">
        <f>+(CJ63-$CJ$10)*($CJ$8-$CJ$9)</f>
        <v>17202.254999999997</v>
      </c>
      <c r="CL63" s="319">
        <f>+(CH63+CI63)*$CL$13</f>
        <v>17808.63696</v>
      </c>
      <c r="CM63" s="319">
        <f>SUM(CJ63:CL63)*$CM$8</f>
        <v>0</v>
      </c>
      <c r="CN63" s="324">
        <f t="shared" si="112"/>
        <v>154692.59195999999</v>
      </c>
    </row>
    <row r="64" spans="1:92" ht="15.5">
      <c r="A64" s="144"/>
      <c r="B64" s="149" t="s">
        <v>22</v>
      </c>
      <c r="C64" s="151" t="s">
        <v>110</v>
      </c>
      <c r="D64" s="202">
        <v>91442.37</v>
      </c>
      <c r="E64" s="202">
        <f t="shared" si="80"/>
        <v>6469</v>
      </c>
      <c r="F64" s="129">
        <f t="shared" si="57"/>
        <v>97911.37</v>
      </c>
      <c r="G64" s="202">
        <f t="shared" si="69"/>
        <v>12680.31906</v>
      </c>
      <c r="H64" s="202">
        <f t="shared" si="70"/>
        <v>14490.882759999999</v>
      </c>
      <c r="I64" s="130">
        <f t="shared" si="81"/>
        <v>125082.57181999998</v>
      </c>
      <c r="J64" s="144"/>
      <c r="K64" s="203">
        <v>92814</v>
      </c>
      <c r="L64" s="202">
        <f t="shared" si="71"/>
        <v>6663</v>
      </c>
      <c r="M64" s="129">
        <f t="shared" si="58"/>
        <v>99477</v>
      </c>
      <c r="N64" s="202">
        <f t="shared" si="72"/>
        <v>12871.536000000002</v>
      </c>
      <c r="O64" s="202">
        <f t="shared" si="67"/>
        <v>14722.596</v>
      </c>
      <c r="P64" s="130">
        <f t="shared" si="82"/>
        <v>127071.13200000001</v>
      </c>
      <c r="Q64" s="144"/>
      <c r="R64" s="203">
        <f t="shared" si="73"/>
        <v>1988.5601800000295</v>
      </c>
      <c r="S64" s="180">
        <f t="shared" si="74"/>
        <v>1.5897979639095255E-2</v>
      </c>
      <c r="T64" s="183"/>
      <c r="U64" s="144"/>
      <c r="V64" s="203">
        <v>93835</v>
      </c>
      <c r="W64" s="202">
        <f t="shared" si="75"/>
        <v>6777</v>
      </c>
      <c r="X64" s="202">
        <v>0</v>
      </c>
      <c r="Y64" s="129">
        <f t="shared" si="68"/>
        <v>100612</v>
      </c>
      <c r="Z64" s="202">
        <f t="shared" si="76"/>
        <v>13028.166000000001</v>
      </c>
      <c r="AA64" s="202">
        <f t="shared" si="83"/>
        <v>14890.575999999999</v>
      </c>
      <c r="AB64" s="130">
        <f t="shared" si="84"/>
        <v>128530.742</v>
      </c>
      <c r="AC64" s="144"/>
      <c r="AD64" s="203">
        <f t="shared" si="85"/>
        <v>1459.609999999986</v>
      </c>
      <c r="AE64" s="180">
        <f t="shared" si="86"/>
        <v>1.1486558567842033E-2</v>
      </c>
      <c r="AF64" s="183"/>
      <c r="AG64" s="144"/>
      <c r="AH64" s="206">
        <v>91004</v>
      </c>
      <c r="AI64" s="202">
        <f t="shared" si="77"/>
        <v>6890</v>
      </c>
      <c r="AJ64" s="202">
        <v>3209</v>
      </c>
      <c r="AK64" s="129">
        <f t="shared" si="78"/>
        <v>101103</v>
      </c>
      <c r="AL64" s="202">
        <f t="shared" si="79"/>
        <v>13095.924000000001</v>
      </c>
      <c r="AM64" s="202">
        <f t="shared" si="87"/>
        <v>14488.312</v>
      </c>
      <c r="AN64" s="130">
        <f t="shared" si="88"/>
        <v>128687.236</v>
      </c>
      <c r="AO64" s="144"/>
      <c r="AP64" s="203">
        <f t="shared" si="89"/>
        <v>156.49400000000605</v>
      </c>
      <c r="AQ64" s="180">
        <f t="shared" si="90"/>
        <v>1.2175608540407092E-3</v>
      </c>
      <c r="AR64" s="183"/>
      <c r="AS64" s="144"/>
      <c r="AT64" s="203" t="e">
        <f>#REF!</f>
        <v>#REF!</v>
      </c>
      <c r="AU64" s="202" t="e">
        <f t="shared" si="106"/>
        <v>#REF!</v>
      </c>
      <c r="AV64" s="202">
        <v>3209</v>
      </c>
      <c r="AW64" s="129" t="e">
        <f t="shared" si="91"/>
        <v>#REF!</v>
      </c>
      <c r="AX64" s="202" t="e">
        <f t="shared" si="113"/>
        <v>#REF!</v>
      </c>
      <c r="AY64" s="202" t="e">
        <f t="shared" si="92"/>
        <v>#REF!</v>
      </c>
      <c r="AZ64" s="130" t="e">
        <f t="shared" si="93"/>
        <v>#REF!</v>
      </c>
      <c r="BA64" s="144"/>
      <c r="BB64" s="203" t="e">
        <f t="shared" si="94"/>
        <v>#REF!</v>
      </c>
      <c r="BC64" s="180" t="e">
        <f t="shared" si="95"/>
        <v>#REF!</v>
      </c>
      <c r="BD64" s="183"/>
      <c r="BE64" s="207" t="e">
        <f t="shared" si="107"/>
        <v>#REF!</v>
      </c>
      <c r="BF64" s="206" t="e">
        <f t="shared" si="63"/>
        <v>#REF!</v>
      </c>
      <c r="BG64" s="202" t="e">
        <f t="shared" si="108"/>
        <v>#REF!</v>
      </c>
      <c r="BH64" s="202">
        <v>3209</v>
      </c>
      <c r="BI64" s="129" t="e">
        <f t="shared" si="96"/>
        <v>#REF!</v>
      </c>
      <c r="BJ64" s="202" t="e">
        <f t="shared" si="109"/>
        <v>#REF!</v>
      </c>
      <c r="BK64" s="202" t="e">
        <f t="shared" si="97"/>
        <v>#REF!</v>
      </c>
      <c r="BL64" s="130" t="e">
        <f t="shared" si="98"/>
        <v>#REF!</v>
      </c>
      <c r="BM64" s="144"/>
      <c r="BN64" s="203" t="e">
        <f t="shared" si="99"/>
        <v>#REF!</v>
      </c>
      <c r="BO64" s="180" t="e">
        <f t="shared" si="100"/>
        <v>#REF!</v>
      </c>
      <c r="BP64" s="183"/>
      <c r="BR64" s="289" t="e">
        <f>#REF!</f>
        <v>#REF!</v>
      </c>
      <c r="BS64" s="202" t="e">
        <f t="shared" si="110"/>
        <v>#REF!</v>
      </c>
      <c r="BT64" s="202">
        <v>3209</v>
      </c>
      <c r="BU64" s="129" t="e">
        <f t="shared" si="101"/>
        <v>#REF!</v>
      </c>
      <c r="BV64" s="202" t="e">
        <f t="shared" si="111"/>
        <v>#REF!</v>
      </c>
      <c r="BW64" s="202" t="e">
        <f t="shared" si="102"/>
        <v>#REF!</v>
      </c>
      <c r="BX64" s="130" t="e">
        <f t="shared" si="103"/>
        <v>#REF!</v>
      </c>
      <c r="BY64" s="291" t="e">
        <f t="shared" si="56"/>
        <v>#REF!</v>
      </c>
      <c r="BZ64" s="203" t="e">
        <f t="shared" si="104"/>
        <v>#REF!</v>
      </c>
      <c r="CA64" s="180" t="e">
        <f t="shared" si="105"/>
        <v>#REF!</v>
      </c>
      <c r="CB64" s="183"/>
      <c r="CD64" s="149" t="s">
        <v>22</v>
      </c>
      <c r="CE64" s="301" t="s">
        <v>339</v>
      </c>
      <c r="CF64" s="298" t="s">
        <v>393</v>
      </c>
      <c r="CG64" s="299" t="s">
        <v>350</v>
      </c>
      <c r="CH64" s="303">
        <v>114874.44</v>
      </c>
      <c r="CI64" s="300">
        <v>8335.44</v>
      </c>
      <c r="CJ64" s="318">
        <v>123209.88</v>
      </c>
      <c r="CK64" s="323">
        <f>+(CJ64-$CJ$10)*($CJ$8-$CJ$9)</f>
        <v>17731.482</v>
      </c>
      <c r="CL64" s="319">
        <f>+(CH64+CI64)*$CL$13</f>
        <v>18333.630143999999</v>
      </c>
      <c r="CM64" s="319">
        <f>SUM(CJ64:CL64)*$CM$8</f>
        <v>0</v>
      </c>
      <c r="CN64" s="324">
        <f t="shared" si="112"/>
        <v>159274.99214399999</v>
      </c>
    </row>
    <row r="65" spans="1:93" ht="15.5">
      <c r="A65" s="144"/>
      <c r="B65" s="149" t="s">
        <v>22</v>
      </c>
      <c r="C65" s="151" t="s">
        <v>111</v>
      </c>
      <c r="D65" s="202">
        <v>95831.83</v>
      </c>
      <c r="E65" s="202">
        <f t="shared" si="80"/>
        <v>6469</v>
      </c>
      <c r="F65" s="129">
        <f t="shared" si="57"/>
        <v>102300.83</v>
      </c>
      <c r="G65" s="202">
        <f t="shared" si="69"/>
        <v>13286.064540000001</v>
      </c>
      <c r="H65" s="202">
        <f t="shared" si="70"/>
        <v>15140.52284</v>
      </c>
      <c r="I65" s="130">
        <f t="shared" si="81"/>
        <v>130727.41738000001</v>
      </c>
      <c r="J65" s="144"/>
      <c r="K65" s="203">
        <v>97269</v>
      </c>
      <c r="L65" s="202">
        <f t="shared" si="71"/>
        <v>6663</v>
      </c>
      <c r="M65" s="129">
        <f t="shared" si="58"/>
        <v>103932</v>
      </c>
      <c r="N65" s="202">
        <f t="shared" si="72"/>
        <v>13486.326000000001</v>
      </c>
      <c r="O65" s="202">
        <f t="shared" si="67"/>
        <v>15381.936</v>
      </c>
      <c r="P65" s="130">
        <f t="shared" si="82"/>
        <v>132800.26199999999</v>
      </c>
      <c r="Q65" s="144"/>
      <c r="R65" s="203">
        <f t="shared" si="73"/>
        <v>2072.8446199999744</v>
      </c>
      <c r="S65" s="180">
        <f t="shared" si="74"/>
        <v>1.5856234763474329E-2</v>
      </c>
      <c r="T65" s="183"/>
      <c r="U65" s="144"/>
      <c r="V65" s="203">
        <v>98339</v>
      </c>
      <c r="W65" s="202">
        <f t="shared" si="75"/>
        <v>6777</v>
      </c>
      <c r="X65" s="202">
        <v>0</v>
      </c>
      <c r="Y65" s="129">
        <f t="shared" si="68"/>
        <v>105116</v>
      </c>
      <c r="Z65" s="202">
        <f t="shared" si="76"/>
        <v>13649.718000000001</v>
      </c>
      <c r="AA65" s="202">
        <f t="shared" si="83"/>
        <v>15557.168</v>
      </c>
      <c r="AB65" s="130">
        <f t="shared" si="84"/>
        <v>134322.886</v>
      </c>
      <c r="AC65" s="144"/>
      <c r="AD65" s="203">
        <f t="shared" si="85"/>
        <v>1522.6240000000107</v>
      </c>
      <c r="AE65" s="180">
        <f t="shared" si="86"/>
        <v>1.1465519548447961E-2</v>
      </c>
      <c r="AF65" s="183"/>
      <c r="AG65" s="144"/>
      <c r="AH65" s="206">
        <v>91004</v>
      </c>
      <c r="AI65" s="202">
        <f t="shared" si="77"/>
        <v>6890</v>
      </c>
      <c r="AJ65" s="202">
        <v>7732</v>
      </c>
      <c r="AK65" s="129">
        <f t="shared" si="78"/>
        <v>105626</v>
      </c>
      <c r="AL65" s="202">
        <f t="shared" si="79"/>
        <v>13720.098000000002</v>
      </c>
      <c r="AM65" s="202">
        <f t="shared" si="87"/>
        <v>14488.312</v>
      </c>
      <c r="AN65" s="130">
        <f t="shared" si="88"/>
        <v>133834.41</v>
      </c>
      <c r="AO65" s="144"/>
      <c r="AP65" s="203">
        <f t="shared" si="89"/>
        <v>-488.47599999999511</v>
      </c>
      <c r="AQ65" s="180">
        <f t="shared" si="90"/>
        <v>-3.6365805898482192E-3</v>
      </c>
      <c r="AR65" s="183"/>
      <c r="AS65" s="144"/>
      <c r="AT65" s="203" t="e">
        <f>AT64</f>
        <v>#REF!</v>
      </c>
      <c r="AU65" s="202" t="e">
        <f t="shared" si="106"/>
        <v>#REF!</v>
      </c>
      <c r="AV65" s="202">
        <v>7732</v>
      </c>
      <c r="AW65" s="129" t="e">
        <f t="shared" si="91"/>
        <v>#REF!</v>
      </c>
      <c r="AX65" s="202" t="e">
        <f t="shared" si="113"/>
        <v>#REF!</v>
      </c>
      <c r="AY65" s="202" t="e">
        <f t="shared" si="92"/>
        <v>#REF!</v>
      </c>
      <c r="AZ65" s="130" t="e">
        <f t="shared" si="93"/>
        <v>#REF!</v>
      </c>
      <c r="BA65" s="144"/>
      <c r="BB65" s="203" t="e">
        <f t="shared" si="94"/>
        <v>#REF!</v>
      </c>
      <c r="BC65" s="180" t="e">
        <f t="shared" si="95"/>
        <v>#REF!</v>
      </c>
      <c r="BD65" s="183"/>
      <c r="BE65" s="207" t="e">
        <f t="shared" si="107"/>
        <v>#REF!</v>
      </c>
      <c r="BF65" s="206" t="e">
        <f t="shared" si="63"/>
        <v>#REF!</v>
      </c>
      <c r="BG65" s="202" t="e">
        <f t="shared" si="108"/>
        <v>#REF!</v>
      </c>
      <c r="BH65" s="202">
        <v>7732</v>
      </c>
      <c r="BI65" s="129" t="e">
        <f t="shared" si="96"/>
        <v>#REF!</v>
      </c>
      <c r="BJ65" s="202" t="e">
        <f t="shared" si="109"/>
        <v>#REF!</v>
      </c>
      <c r="BK65" s="202" t="e">
        <f t="shared" si="97"/>
        <v>#REF!</v>
      </c>
      <c r="BL65" s="130" t="e">
        <f t="shared" si="98"/>
        <v>#REF!</v>
      </c>
      <c r="BM65" s="144"/>
      <c r="BN65" s="203" t="e">
        <f t="shared" si="99"/>
        <v>#REF!</v>
      </c>
      <c r="BO65" s="180" t="e">
        <f t="shared" si="100"/>
        <v>#REF!</v>
      </c>
      <c r="BP65" s="183"/>
      <c r="BR65" s="289" t="e">
        <f t="shared" si="115"/>
        <v>#REF!</v>
      </c>
      <c r="BS65" s="202" t="e">
        <f t="shared" si="110"/>
        <v>#REF!</v>
      </c>
      <c r="BT65" s="202">
        <v>7732</v>
      </c>
      <c r="BU65" s="129" t="e">
        <f t="shared" si="101"/>
        <v>#REF!</v>
      </c>
      <c r="BV65" s="202" t="e">
        <f t="shared" si="111"/>
        <v>#REF!</v>
      </c>
      <c r="BW65" s="202" t="e">
        <f t="shared" si="102"/>
        <v>#REF!</v>
      </c>
      <c r="BX65" s="130" t="e">
        <f t="shared" si="103"/>
        <v>#REF!</v>
      </c>
      <c r="BY65" s="291" t="e">
        <f t="shared" si="56"/>
        <v>#REF!</v>
      </c>
      <c r="BZ65" s="203" t="e">
        <f t="shared" si="104"/>
        <v>#REF!</v>
      </c>
      <c r="CA65" s="180" t="e">
        <f t="shared" si="105"/>
        <v>#REF!</v>
      </c>
      <c r="CB65" s="183"/>
      <c r="CD65" s="149" t="s">
        <v>22</v>
      </c>
      <c r="CE65" s="301" t="s">
        <v>348</v>
      </c>
      <c r="CF65" s="298" t="s">
        <v>394</v>
      </c>
      <c r="CG65" s="299" t="s">
        <v>358</v>
      </c>
      <c r="CH65" s="303">
        <v>117952.8</v>
      </c>
      <c r="CI65" s="300">
        <v>8335.44</v>
      </c>
      <c r="CJ65" s="318">
        <v>126288.24</v>
      </c>
      <c r="CK65" s="323">
        <f>+(CJ65-$CJ$10)*($CJ$8-$CJ$9)</f>
        <v>18193.236000000001</v>
      </c>
      <c r="CL65" s="319">
        <f>+(CH65+CI65)*$CL$13</f>
        <v>18791.690112</v>
      </c>
      <c r="CM65" s="319">
        <f>SUM(CJ65:CL65)*$CM$8</f>
        <v>0</v>
      </c>
      <c r="CN65" s="324">
        <f t="shared" si="112"/>
        <v>163273.16611200001</v>
      </c>
    </row>
    <row r="66" spans="1:93" ht="13" thickBot="1">
      <c r="A66" s="144"/>
      <c r="B66" s="198" t="s">
        <v>22</v>
      </c>
      <c r="C66" s="199" t="s">
        <v>112</v>
      </c>
      <c r="D66" s="204">
        <v>100431.37</v>
      </c>
      <c r="E66" s="204">
        <f t="shared" si="80"/>
        <v>6469</v>
      </c>
      <c r="F66" s="127">
        <f t="shared" si="57"/>
        <v>106900.37</v>
      </c>
      <c r="G66" s="204">
        <f t="shared" si="69"/>
        <v>13920.80106</v>
      </c>
      <c r="H66" s="204">
        <f t="shared" si="70"/>
        <v>15821.254759999998</v>
      </c>
      <c r="I66" s="128">
        <f t="shared" si="81"/>
        <v>136642.42582</v>
      </c>
      <c r="J66" s="144"/>
      <c r="K66" s="205">
        <v>102506</v>
      </c>
      <c r="L66" s="204">
        <f t="shared" si="71"/>
        <v>6663</v>
      </c>
      <c r="M66" s="127">
        <f t="shared" si="58"/>
        <v>109169</v>
      </c>
      <c r="N66" s="204">
        <f t="shared" si="72"/>
        <v>14209.032000000001</v>
      </c>
      <c r="O66" s="204">
        <f t="shared" si="67"/>
        <v>16157.011999999999</v>
      </c>
      <c r="P66" s="128">
        <f t="shared" si="82"/>
        <v>139535.04399999999</v>
      </c>
      <c r="Q66" s="144"/>
      <c r="R66" s="205">
        <f t="shared" si="73"/>
        <v>2892.6181799999904</v>
      </c>
      <c r="S66" s="179">
        <f t="shared" si="74"/>
        <v>2.1169253711950751E-2</v>
      </c>
      <c r="T66" s="182">
        <f>SUM(R62:R66)/SUM(I62:I66)</f>
        <v>2.5229271882268749E-2</v>
      </c>
      <c r="U66" s="144"/>
      <c r="V66" s="205">
        <v>103860</v>
      </c>
      <c r="W66" s="204">
        <f t="shared" si="75"/>
        <v>6777</v>
      </c>
      <c r="X66" s="204">
        <v>799</v>
      </c>
      <c r="Y66" s="127">
        <f t="shared" si="68"/>
        <v>111436</v>
      </c>
      <c r="Z66" s="204">
        <f t="shared" si="76"/>
        <v>14521.878000000001</v>
      </c>
      <c r="AA66" s="204">
        <f t="shared" si="83"/>
        <v>16374.276</v>
      </c>
      <c r="AB66" s="128">
        <f t="shared" si="84"/>
        <v>142332.15400000001</v>
      </c>
      <c r="AC66" s="144"/>
      <c r="AD66" s="205">
        <f t="shared" si="85"/>
        <v>2797.1100000000151</v>
      </c>
      <c r="AE66" s="179">
        <f t="shared" si="86"/>
        <v>2.004593197390625E-2</v>
      </c>
      <c r="AF66" s="182">
        <f>SUM(AD62:AD66)/SUM(P62:P66)</f>
        <v>3.0069946602716668E-2</v>
      </c>
      <c r="AG66" s="144"/>
      <c r="AH66" s="205">
        <v>104927</v>
      </c>
      <c r="AI66" s="204">
        <f t="shared" si="77"/>
        <v>6890</v>
      </c>
      <c r="AJ66" s="204">
        <v>0</v>
      </c>
      <c r="AK66" s="127">
        <f t="shared" si="78"/>
        <v>111817</v>
      </c>
      <c r="AL66" s="204">
        <f t="shared" si="79"/>
        <v>14574.456000000002</v>
      </c>
      <c r="AM66" s="204">
        <f t="shared" si="87"/>
        <v>16548.915999999997</v>
      </c>
      <c r="AN66" s="128">
        <f t="shared" si="88"/>
        <v>142940.372</v>
      </c>
      <c r="AO66" s="144"/>
      <c r="AP66" s="205">
        <f t="shared" si="89"/>
        <v>608.21799999999348</v>
      </c>
      <c r="AQ66" s="179">
        <f t="shared" si="90"/>
        <v>4.2732297861521398E-3</v>
      </c>
      <c r="AR66" s="182">
        <f>SUM(AP62:AP66)/SUM(AB62:AB66)</f>
        <v>6.6646866079495158E-3</v>
      </c>
      <c r="AS66" s="144"/>
      <c r="AT66" s="205">
        <v>108075</v>
      </c>
      <c r="AU66" s="204">
        <f t="shared" si="106"/>
        <v>7097</v>
      </c>
      <c r="AV66" s="204">
        <v>0</v>
      </c>
      <c r="AW66" s="127">
        <f t="shared" si="91"/>
        <v>115172</v>
      </c>
      <c r="AX66" s="204">
        <f t="shared" si="113"/>
        <v>14673.816000000001</v>
      </c>
      <c r="AY66" s="204">
        <f t="shared" si="92"/>
        <v>17080.007599999997</v>
      </c>
      <c r="AZ66" s="128">
        <f t="shared" si="93"/>
        <v>146925.8236</v>
      </c>
      <c r="BA66" s="144"/>
      <c r="BB66" s="205">
        <f t="shared" si="94"/>
        <v>3985.4516000000003</v>
      </c>
      <c r="BC66" s="179">
        <f t="shared" si="95"/>
        <v>2.7881917083579441E-2</v>
      </c>
      <c r="BD66" s="182" t="e">
        <f>SUM(BB62:BB66)/SUM(AN62:AN66)</f>
        <v>#REF!</v>
      </c>
      <c r="BE66" s="207">
        <f t="shared" si="107"/>
        <v>1400</v>
      </c>
      <c r="BF66" s="284">
        <f t="shared" si="63"/>
        <v>109475</v>
      </c>
      <c r="BG66" s="204">
        <f t="shared" si="108"/>
        <v>7377</v>
      </c>
      <c r="BH66" s="204">
        <v>0</v>
      </c>
      <c r="BI66" s="127">
        <f t="shared" si="96"/>
        <v>116852</v>
      </c>
      <c r="BJ66" s="204">
        <f t="shared" si="109"/>
        <v>16216.676000000003</v>
      </c>
      <c r="BK66" s="204">
        <f t="shared" si="97"/>
        <v>17913.411599999999</v>
      </c>
      <c r="BL66" s="128">
        <f t="shared" si="98"/>
        <v>150982.0876</v>
      </c>
      <c r="BM66" s="144"/>
      <c r="BN66" s="205">
        <f t="shared" si="99"/>
        <v>4056.2639999999956</v>
      </c>
      <c r="BO66" s="179">
        <f t="shared" si="100"/>
        <v>2.7607563467148027E-2</v>
      </c>
      <c r="BP66" s="182" t="e">
        <f>SUM(BN62:BN66)/SUM(AZ62:AZ66)</f>
        <v>#REF!</v>
      </c>
      <c r="BR66" s="290">
        <v>114949</v>
      </c>
      <c r="BS66" s="204">
        <f t="shared" si="110"/>
        <v>7745.85</v>
      </c>
      <c r="BT66" s="204">
        <v>0</v>
      </c>
      <c r="BU66" s="127">
        <f t="shared" si="101"/>
        <v>122694.85</v>
      </c>
      <c r="BV66" s="204">
        <f t="shared" si="111"/>
        <v>15676.089300000001</v>
      </c>
      <c r="BW66" s="204">
        <f t="shared" si="102"/>
        <v>18809.120504999999</v>
      </c>
      <c r="BX66" s="128">
        <f t="shared" si="103"/>
        <v>157180.059805</v>
      </c>
      <c r="BY66" s="291">
        <f t="shared" si="56"/>
        <v>0.28106485158097505</v>
      </c>
      <c r="BZ66" s="205">
        <f t="shared" si="104"/>
        <v>6197.9722049999982</v>
      </c>
      <c r="CA66" s="179">
        <f t="shared" si="105"/>
        <v>4.105104322984602E-2</v>
      </c>
      <c r="CB66" s="182" t="e">
        <f>SUM(BZ62:BZ66)/SUM(BL62:BL66)</f>
        <v>#REF!</v>
      </c>
      <c r="CD66" s="198" t="s">
        <v>22</v>
      </c>
      <c r="CE66" s="308" t="s">
        <v>342</v>
      </c>
      <c r="CF66" s="312" t="s">
        <v>395</v>
      </c>
      <c r="CG66" s="309" t="s">
        <v>360</v>
      </c>
      <c r="CH66" s="311">
        <v>123696.42</v>
      </c>
      <c r="CI66" s="311">
        <v>8335.44</v>
      </c>
      <c r="CJ66" s="317">
        <v>132031.85999999999</v>
      </c>
      <c r="CK66" s="325">
        <f>+(CJ66-$CJ$10)*($CJ$8-$CJ$9)</f>
        <v>19054.778999999999</v>
      </c>
      <c r="CL66" s="326">
        <f>+(CH66+CI66)*$CL$13</f>
        <v>19646.340767999995</v>
      </c>
      <c r="CM66" s="326">
        <f>SUM(CJ66:CL66)*$CM$8</f>
        <v>0</v>
      </c>
      <c r="CN66" s="327">
        <f t="shared" si="112"/>
        <v>170732.97976799999</v>
      </c>
    </row>
    <row r="67" spans="1:93">
      <c r="A67" s="144"/>
      <c r="B67" s="144"/>
      <c r="C67" s="144"/>
      <c r="D67" s="207">
        <f>SUM(D16:D66)</f>
        <v>2262827.3700000006</v>
      </c>
      <c r="E67" s="144"/>
      <c r="F67" s="207">
        <f>SUM(F16:F66)</f>
        <v>2550334.8880000003</v>
      </c>
      <c r="G67" s="144"/>
      <c r="H67" s="144"/>
      <c r="I67" s="207">
        <f>SUM(I16:I66)</f>
        <v>3238989.6159679992</v>
      </c>
      <c r="J67" s="144"/>
      <c r="K67" s="207">
        <f>SUM(K16:K66)</f>
        <v>2319088</v>
      </c>
      <c r="L67" s="144"/>
      <c r="M67" s="207">
        <f>SUM(M16:M66)</f>
        <v>2615030.6</v>
      </c>
      <c r="N67" s="144"/>
      <c r="O67" s="144"/>
      <c r="P67" s="207">
        <f>SUM(P16:P66)</f>
        <v>3320971.1416000007</v>
      </c>
      <c r="Q67" s="144"/>
      <c r="R67" s="207">
        <f>SUM(R16:R66)</f>
        <v>81981.525632000004</v>
      </c>
      <c r="S67" s="208">
        <f t="shared" si="74"/>
        <v>2.531083311531369E-2</v>
      </c>
      <c r="T67" s="208">
        <f>R67/I67</f>
        <v>2.531083311531369E-2</v>
      </c>
      <c r="U67" s="144"/>
      <c r="V67" s="207">
        <f>SUM(V16:V66)</f>
        <v>2389677</v>
      </c>
      <c r="W67" s="144"/>
      <c r="X67" s="144"/>
      <c r="Y67" s="207">
        <f>SUM(Y16:Y66)</f>
        <v>2697147.4</v>
      </c>
      <c r="Z67" s="144"/>
      <c r="AA67" s="144"/>
      <c r="AB67" s="207">
        <f>SUM(AB16:AB66)</f>
        <v>3425752.2424000003</v>
      </c>
      <c r="AC67" s="144"/>
      <c r="AD67" s="207">
        <f>SUM(AD16:AD66)</f>
        <v>104781.10079999999</v>
      </c>
      <c r="AE67" s="208">
        <f t="shared" si="86"/>
        <v>3.1551343366843537E-2</v>
      </c>
      <c r="AF67" s="208">
        <f>AD67/P67</f>
        <v>3.1551343366843537E-2</v>
      </c>
      <c r="AG67" s="144"/>
      <c r="AH67" s="207">
        <f>SUM(AH16:AH66)</f>
        <v>2402603</v>
      </c>
      <c r="AI67" s="144"/>
      <c r="AJ67" s="144"/>
      <c r="AK67" s="207">
        <f>SUM(AK16:AK66)</f>
        <v>2747380.6</v>
      </c>
      <c r="AL67" s="144"/>
      <c r="AM67" s="144"/>
      <c r="AN67" s="207">
        <f>SUM(AN16:AN66)</f>
        <v>3485765.4696</v>
      </c>
      <c r="AO67" s="144"/>
      <c r="AP67" s="207">
        <f>SUM(AP16:AP66)</f>
        <v>60013.22720000011</v>
      </c>
      <c r="AQ67" s="208">
        <f t="shared" si="90"/>
        <v>1.7518262546025884E-2</v>
      </c>
      <c r="AR67" s="208">
        <f>AP67/AB67</f>
        <v>1.7518262546025884E-2</v>
      </c>
      <c r="AS67" s="144"/>
      <c r="AT67" s="207" t="e">
        <f>SUM(AT16:AT66)</f>
        <v>#REF!</v>
      </c>
      <c r="AU67" s="144"/>
      <c r="AV67" s="144"/>
      <c r="AW67" s="207" t="e">
        <f>SUM(AW16:AW66)</f>
        <v>#REF!</v>
      </c>
      <c r="AX67" s="144"/>
      <c r="AY67" s="144"/>
      <c r="AZ67" s="207" t="e">
        <f>SUM(AZ16:AZ66)</f>
        <v>#REF!</v>
      </c>
      <c r="BA67" s="144"/>
      <c r="BB67" s="207" t="e">
        <f>SUM(BB16:BB66)</f>
        <v>#REF!</v>
      </c>
      <c r="BC67" s="208" t="e">
        <f t="shared" si="95"/>
        <v>#REF!</v>
      </c>
      <c r="BD67" s="208" t="e">
        <f>BB67/AN67</f>
        <v>#REF!</v>
      </c>
      <c r="BE67" s="144"/>
      <c r="BF67" s="207" t="e">
        <f>SUM(BF16:BF66)</f>
        <v>#REF!</v>
      </c>
      <c r="BG67" s="144"/>
      <c r="BH67" s="144"/>
      <c r="BI67" s="207" t="e">
        <f>SUM(BI16:BI66)</f>
        <v>#REF!</v>
      </c>
      <c r="BJ67" s="144"/>
      <c r="BK67" s="144"/>
      <c r="BL67" s="207" t="e">
        <f>SUM(BL16:BL66)</f>
        <v>#REF!</v>
      </c>
      <c r="BM67" s="144"/>
      <c r="BN67" s="207" t="e">
        <f>SUM(BN16:BN66)</f>
        <v>#REF!</v>
      </c>
      <c r="BO67" s="208" t="e">
        <f t="shared" si="100"/>
        <v>#REF!</v>
      </c>
      <c r="BP67" s="208" t="e">
        <f>BN67/AZ67</f>
        <v>#REF!</v>
      </c>
      <c r="BR67" s="207" t="e">
        <f>SUM(BR16:BR66)</f>
        <v>#REF!</v>
      </c>
      <c r="BS67" s="144"/>
      <c r="BT67" s="144"/>
      <c r="BU67" s="207" t="e">
        <f>SUM(BU16:BU66)</f>
        <v>#REF!</v>
      </c>
      <c r="BV67" s="144"/>
      <c r="BW67" s="144"/>
      <c r="BX67" s="207" t="e">
        <f>SUM(BX16:BX66)</f>
        <v>#REF!</v>
      </c>
      <c r="BY67" s="144"/>
      <c r="BZ67" s="207" t="e">
        <f>SUM(BZ16:BZ66)</f>
        <v>#REF!</v>
      </c>
      <c r="CA67" s="208" t="e">
        <f t="shared" si="105"/>
        <v>#REF!</v>
      </c>
      <c r="CB67" s="208" t="e">
        <f>BZ67/BL67</f>
        <v>#REF!</v>
      </c>
      <c r="CD67" s="103" t="s">
        <v>521</v>
      </c>
    </row>
    <row r="68" spans="1:93" ht="25.5" customHeight="1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209"/>
      <c r="AI68" s="144" t="s">
        <v>280</v>
      </c>
      <c r="AJ68" s="144"/>
      <c r="AK68" s="144"/>
      <c r="AL68" s="144"/>
      <c r="AM68" s="144"/>
      <c r="AN68" s="144"/>
      <c r="AO68" s="144"/>
      <c r="AP68" s="144"/>
      <c r="AQ68" s="144"/>
      <c r="AR68" s="144"/>
      <c r="AS68" s="144"/>
      <c r="AT68" s="144"/>
      <c r="AU68" s="144"/>
      <c r="AV68" s="144"/>
      <c r="AW68" s="144"/>
      <c r="AX68" s="144"/>
      <c r="AY68" s="144"/>
      <c r="AZ68" s="144"/>
      <c r="BA68" s="144"/>
      <c r="BB68" s="144"/>
      <c r="BC68" s="144"/>
      <c r="BD68" s="144"/>
      <c r="BE68" s="144"/>
      <c r="BF68" s="144"/>
      <c r="BG68" s="144"/>
      <c r="BH68" s="144"/>
      <c r="BI68" s="144"/>
      <c r="BJ68" s="144"/>
      <c r="BK68" s="144"/>
      <c r="BL68" s="144"/>
      <c r="BM68" s="144"/>
      <c r="BN68" s="144"/>
      <c r="BO68" s="144"/>
      <c r="BP68" s="144"/>
      <c r="BR68" s="144"/>
      <c r="BS68" s="144"/>
      <c r="BT68" s="144"/>
      <c r="BU68" s="144"/>
      <c r="BV68" s="144"/>
      <c r="BW68" s="144"/>
      <c r="BX68" s="144"/>
      <c r="BY68" s="144"/>
      <c r="BZ68" s="144"/>
      <c r="CA68" s="144"/>
      <c r="CB68" s="144"/>
    </row>
    <row r="69" spans="1:93" ht="13">
      <c r="A69" s="144"/>
      <c r="B69" s="144"/>
      <c r="C69" s="144"/>
      <c r="D69" s="598">
        <v>2017</v>
      </c>
      <c r="E69" s="598"/>
      <c r="F69" s="598"/>
      <c r="G69" s="598"/>
      <c r="H69" s="598"/>
      <c r="I69" s="144"/>
      <c r="J69" s="144"/>
      <c r="K69" s="593" t="s">
        <v>259</v>
      </c>
      <c r="L69" s="593"/>
      <c r="M69" s="593"/>
      <c r="N69" s="593"/>
      <c r="O69" s="593"/>
      <c r="P69" s="593"/>
      <c r="Q69" s="593"/>
      <c r="R69" s="144"/>
      <c r="S69" s="144"/>
      <c r="T69" s="144"/>
      <c r="U69" s="144"/>
      <c r="V69" s="593" t="str">
        <f>V2</f>
        <v>2019/20</v>
      </c>
      <c r="W69" s="593"/>
      <c r="X69" s="593"/>
      <c r="Y69" s="593"/>
      <c r="Z69" s="593"/>
      <c r="AA69" s="593"/>
      <c r="AB69" s="593"/>
      <c r="AC69" s="593"/>
      <c r="AD69" s="144"/>
      <c r="AE69" s="144"/>
      <c r="AF69" s="144"/>
      <c r="AG69" s="144"/>
      <c r="AH69" s="593" t="str">
        <f>AH2</f>
        <v>2020/21</v>
      </c>
      <c r="AI69" s="593"/>
      <c r="AJ69" s="593"/>
      <c r="AK69" s="593"/>
      <c r="AL69" s="593"/>
      <c r="AM69" s="593"/>
      <c r="AN69" s="593"/>
      <c r="AO69" s="593"/>
      <c r="AP69" s="144"/>
      <c r="AQ69" s="144"/>
      <c r="AR69" s="144"/>
      <c r="AS69" s="144"/>
      <c r="AT69" s="593" t="str">
        <f>AT2</f>
        <v>2021/22</v>
      </c>
      <c r="AU69" s="593"/>
      <c r="AV69" s="593"/>
      <c r="AW69" s="593"/>
      <c r="AX69" s="593"/>
      <c r="AY69" s="593"/>
      <c r="AZ69" s="593"/>
      <c r="BA69" s="593"/>
      <c r="BB69" s="144"/>
      <c r="BC69" s="144"/>
      <c r="BD69" s="144"/>
      <c r="BE69" s="144"/>
      <c r="BF69" s="593" t="s">
        <v>322</v>
      </c>
      <c r="BG69" s="593"/>
      <c r="BH69" s="593"/>
      <c r="BI69" s="593"/>
      <c r="BJ69" s="593"/>
      <c r="BK69" s="593"/>
      <c r="BL69" s="593"/>
      <c r="BM69" s="593"/>
      <c r="BN69" s="144"/>
      <c r="BO69" s="144"/>
      <c r="BP69" s="144"/>
      <c r="BR69" s="593" t="s">
        <v>332</v>
      </c>
      <c r="BS69" s="593"/>
      <c r="BT69" s="593"/>
      <c r="BU69" s="593"/>
      <c r="BV69" s="593"/>
      <c r="BW69" s="593"/>
      <c r="BX69" s="593"/>
      <c r="BY69" s="593"/>
      <c r="BZ69" s="144"/>
      <c r="CA69" s="144"/>
      <c r="CB69" s="144"/>
      <c r="CE69" s="593" t="s">
        <v>519</v>
      </c>
      <c r="CF69" s="593"/>
      <c r="CG69" s="593"/>
      <c r="CH69" s="593"/>
      <c r="CI69" s="593"/>
      <c r="CJ69" s="593"/>
      <c r="CK69" s="593"/>
      <c r="CL69" s="593"/>
      <c r="CM69" s="351" t="s">
        <v>456</v>
      </c>
      <c r="CN69" s="351"/>
      <c r="CO69" s="144"/>
    </row>
    <row r="70" spans="1:93" s="19" customFormat="1" ht="78">
      <c r="A70" s="152"/>
      <c r="B70" s="152"/>
      <c r="C70" s="152"/>
      <c r="D70" s="210" t="s">
        <v>256</v>
      </c>
      <c r="E70" s="211" t="s">
        <v>273</v>
      </c>
      <c r="F70" s="210" t="s">
        <v>257</v>
      </c>
      <c r="G70" s="211" t="s">
        <v>272</v>
      </c>
      <c r="H70" s="212" t="s">
        <v>258</v>
      </c>
      <c r="I70" s="152"/>
      <c r="J70" s="152"/>
      <c r="K70" s="210" t="s">
        <v>274</v>
      </c>
      <c r="L70" s="211" t="s">
        <v>273</v>
      </c>
      <c r="M70" s="210" t="s">
        <v>257</v>
      </c>
      <c r="N70" s="211" t="s">
        <v>272</v>
      </c>
      <c r="O70" s="213" t="s">
        <v>277</v>
      </c>
      <c r="P70" s="214" t="s">
        <v>275</v>
      </c>
      <c r="Q70" s="215" t="s">
        <v>276</v>
      </c>
      <c r="R70" s="152"/>
      <c r="S70" s="152"/>
      <c r="T70" s="152"/>
      <c r="U70" s="152"/>
      <c r="V70" s="210" t="s">
        <v>274</v>
      </c>
      <c r="W70" s="211" t="s">
        <v>273</v>
      </c>
      <c r="X70" s="211"/>
      <c r="Y70" s="210" t="s">
        <v>257</v>
      </c>
      <c r="Z70" s="211" t="s">
        <v>272</v>
      </c>
      <c r="AA70" s="213" t="s">
        <v>277</v>
      </c>
      <c r="AB70" s="214" t="s">
        <v>275</v>
      </c>
      <c r="AC70" s="215" t="s">
        <v>276</v>
      </c>
      <c r="AD70" s="152"/>
      <c r="AE70" s="152"/>
      <c r="AF70" s="152"/>
      <c r="AG70" s="152"/>
      <c r="AH70" s="210" t="s">
        <v>274</v>
      </c>
      <c r="AI70" s="211" t="s">
        <v>273</v>
      </c>
      <c r="AJ70" s="211"/>
      <c r="AK70" s="210" t="s">
        <v>257</v>
      </c>
      <c r="AL70" s="211" t="s">
        <v>272</v>
      </c>
      <c r="AM70" s="213" t="s">
        <v>277</v>
      </c>
      <c r="AN70" s="214" t="s">
        <v>275</v>
      </c>
      <c r="AO70" s="215" t="s">
        <v>276</v>
      </c>
      <c r="AP70" s="152"/>
      <c r="AQ70" s="152"/>
      <c r="AR70" s="152"/>
      <c r="AS70" s="152"/>
      <c r="AT70" s="210" t="s">
        <v>274</v>
      </c>
      <c r="AU70" s="211" t="s">
        <v>273</v>
      </c>
      <c r="AV70" s="211"/>
      <c r="AW70" s="210" t="s">
        <v>257</v>
      </c>
      <c r="AX70" s="211" t="s">
        <v>272</v>
      </c>
      <c r="AY70" s="213" t="s">
        <v>277</v>
      </c>
      <c r="AZ70" s="214" t="s">
        <v>275</v>
      </c>
      <c r="BA70" s="215" t="s">
        <v>276</v>
      </c>
      <c r="BB70" s="152"/>
      <c r="BC70" s="152" t="s">
        <v>260</v>
      </c>
      <c r="BD70" s="152" t="s">
        <v>144</v>
      </c>
      <c r="BE70" s="152"/>
      <c r="BF70" s="210" t="s">
        <v>323</v>
      </c>
      <c r="BG70" s="211" t="s">
        <v>273</v>
      </c>
      <c r="BH70" s="211"/>
      <c r="BI70" s="210" t="s">
        <v>319</v>
      </c>
      <c r="BJ70" s="211" t="s">
        <v>272</v>
      </c>
      <c r="BK70" s="213" t="s">
        <v>277</v>
      </c>
      <c r="BL70" s="214" t="s">
        <v>275</v>
      </c>
      <c r="BM70" s="215" t="s">
        <v>276</v>
      </c>
      <c r="BN70" s="152"/>
      <c r="BO70" s="152" t="s">
        <v>260</v>
      </c>
      <c r="BP70" s="152" t="s">
        <v>144</v>
      </c>
      <c r="BR70" s="210" t="s">
        <v>323</v>
      </c>
      <c r="BS70" s="211" t="s">
        <v>273</v>
      </c>
      <c r="BT70" s="211"/>
      <c r="BU70" s="210" t="s">
        <v>319</v>
      </c>
      <c r="BV70" s="211" t="s">
        <v>272</v>
      </c>
      <c r="BW70" s="213" t="s">
        <v>277</v>
      </c>
      <c r="BX70" s="214" t="s">
        <v>275</v>
      </c>
      <c r="BY70" s="215" t="s">
        <v>276</v>
      </c>
      <c r="BZ70" s="152"/>
      <c r="CA70" s="152" t="s">
        <v>260</v>
      </c>
      <c r="CB70" s="152" t="s">
        <v>144</v>
      </c>
      <c r="CE70" s="210" t="s">
        <v>323</v>
      </c>
      <c r="CF70" s="211" t="s">
        <v>446</v>
      </c>
      <c r="CG70" s="211" t="s">
        <v>451</v>
      </c>
      <c r="CH70" s="210" t="s">
        <v>319</v>
      </c>
      <c r="CI70" s="211" t="s">
        <v>446</v>
      </c>
      <c r="CJ70" s="213" t="s">
        <v>277</v>
      </c>
      <c r="CK70" s="214" t="s">
        <v>275</v>
      </c>
      <c r="CL70" s="215" t="s">
        <v>276</v>
      </c>
      <c r="CM70" s="152"/>
      <c r="CN70" s="152" t="s">
        <v>260</v>
      </c>
      <c r="CO70" s="152" t="s">
        <v>144</v>
      </c>
    </row>
    <row r="71" spans="1:93">
      <c r="A71" s="144"/>
      <c r="B71" s="216" t="s">
        <v>11</v>
      </c>
      <c r="C71" s="216"/>
      <c r="D71" s="217">
        <f>SUMIF($B$16:$B$66,$B71,I$16:I$66)/COUNTIF($B$16:$B$66,$B71)</f>
        <v>0</v>
      </c>
      <c r="E71" s="218">
        <f t="shared" ref="E71:E82" si="116">+D71/$E$94</f>
        <v>0</v>
      </c>
      <c r="F71" s="217">
        <f>I17</f>
        <v>0</v>
      </c>
      <c r="G71" s="218">
        <f t="shared" ref="G71:G82" si="117">+F71/$E$94</f>
        <v>0</v>
      </c>
      <c r="H71" s="219" t="e">
        <f>+G71/E71-1</f>
        <v>#DIV/0!</v>
      </c>
      <c r="I71" s="144"/>
      <c r="J71" s="144"/>
      <c r="K71" s="217">
        <v>0</v>
      </c>
      <c r="L71" s="218">
        <v>0</v>
      </c>
      <c r="M71" s="217">
        <v>0</v>
      </c>
      <c r="N71" s="218">
        <v>0</v>
      </c>
      <c r="O71" s="216"/>
      <c r="P71" s="220">
        <v>0</v>
      </c>
      <c r="Q71" s="219">
        <v>0</v>
      </c>
      <c r="R71" s="144"/>
      <c r="S71" s="144"/>
      <c r="T71" s="144"/>
      <c r="U71" s="144"/>
      <c r="V71" s="217">
        <v>0</v>
      </c>
      <c r="W71" s="218">
        <v>0</v>
      </c>
      <c r="X71" s="218"/>
      <c r="Y71" s="217">
        <v>0</v>
      </c>
      <c r="Z71" s="218">
        <v>0</v>
      </c>
      <c r="AA71" s="216"/>
      <c r="AB71" s="220">
        <v>0</v>
      </c>
      <c r="AC71" s="219">
        <v>0</v>
      </c>
      <c r="AD71" s="144"/>
      <c r="AE71" s="144"/>
      <c r="AF71" s="144"/>
      <c r="AG71" s="144"/>
      <c r="AH71" s="217">
        <v>0</v>
      </c>
      <c r="AI71" s="218">
        <v>0</v>
      </c>
      <c r="AJ71" s="218"/>
      <c r="AK71" s="217">
        <v>0</v>
      </c>
      <c r="AL71" s="218">
        <v>0</v>
      </c>
      <c r="AM71" s="216"/>
      <c r="AN71" s="220">
        <v>0</v>
      </c>
      <c r="AO71" s="219">
        <v>0</v>
      </c>
      <c r="AP71" s="144"/>
      <c r="AQ71" s="144"/>
      <c r="AR71" s="144"/>
      <c r="AS71" s="144"/>
      <c r="AT71" s="217">
        <v>0</v>
      </c>
      <c r="AU71" s="218">
        <v>0</v>
      </c>
      <c r="AV71" s="218"/>
      <c r="AW71" s="217">
        <v>0</v>
      </c>
      <c r="AX71" s="218">
        <v>0</v>
      </c>
      <c r="AY71" s="216"/>
      <c r="AZ71" s="220">
        <v>0</v>
      </c>
      <c r="BA71" s="219">
        <v>0</v>
      </c>
      <c r="BB71" s="144"/>
      <c r="BC71" s="144"/>
      <c r="BD71" s="144"/>
      <c r="BE71" s="144"/>
      <c r="BF71" s="217">
        <v>0</v>
      </c>
      <c r="BG71" s="218">
        <v>0</v>
      </c>
      <c r="BH71" s="218"/>
      <c r="BI71" s="217">
        <v>0</v>
      </c>
      <c r="BJ71" s="218">
        <v>0</v>
      </c>
      <c r="BK71" s="216"/>
      <c r="BL71" s="220">
        <v>0</v>
      </c>
      <c r="BM71" s="219">
        <v>0</v>
      </c>
      <c r="BN71" s="144"/>
      <c r="BO71" s="144"/>
      <c r="BP71" s="144"/>
      <c r="BR71" s="217">
        <v>0</v>
      </c>
      <c r="BS71" s="218">
        <v>0</v>
      </c>
      <c r="BT71" s="218"/>
      <c r="BU71" s="217">
        <v>0</v>
      </c>
      <c r="BV71" s="218">
        <v>0</v>
      </c>
      <c r="BW71" s="216"/>
      <c r="BX71" s="220">
        <v>0</v>
      </c>
      <c r="BY71" s="219">
        <v>0</v>
      </c>
      <c r="BZ71" s="144"/>
      <c r="CA71" s="144"/>
      <c r="CB71" s="144"/>
      <c r="CD71" s="216" t="s">
        <v>11</v>
      </c>
      <c r="CE71" s="217">
        <v>0</v>
      </c>
      <c r="CF71" s="218">
        <v>0</v>
      </c>
      <c r="CG71" s="218"/>
      <c r="CH71" s="217" t="s">
        <v>455</v>
      </c>
      <c r="CI71" s="218">
        <v>0</v>
      </c>
      <c r="CJ71" s="216"/>
      <c r="CK71" s="220">
        <v>0</v>
      </c>
      <c r="CL71" s="219">
        <v>0</v>
      </c>
      <c r="CM71" s="144"/>
      <c r="CN71" s="144"/>
      <c r="CO71" s="144"/>
    </row>
    <row r="72" spans="1:93">
      <c r="A72" s="144"/>
      <c r="B72" s="216" t="s">
        <v>12</v>
      </c>
      <c r="C72" s="216"/>
      <c r="D72" s="217">
        <f>SUMIF($B$16:$B$66,$B72,I$16:I$66)/COUNTIF($B$16:$B$66,$B72)</f>
        <v>26149.472999999998</v>
      </c>
      <c r="E72" s="218">
        <f t="shared" si="116"/>
        <v>0.2800479036144578</v>
      </c>
      <c r="F72" s="217">
        <f>I19</f>
        <v>27919.651999999998</v>
      </c>
      <c r="G72" s="218">
        <f t="shared" si="117"/>
        <v>0.29900564390896917</v>
      </c>
      <c r="H72" s="219">
        <f t="shared" ref="H72:H82" si="118">+G72/E72-1</f>
        <v>6.7694633845966967E-2</v>
      </c>
      <c r="I72" s="144"/>
      <c r="J72" s="144"/>
      <c r="K72" s="217">
        <f>SUMIF($B$16:$B$66,$B72,P$16:P$66)/COUNTIF($B$16:$B$66,$B72)</f>
        <v>27959.112000000001</v>
      </c>
      <c r="L72" s="218">
        <f t="shared" ref="L72:L82" si="119">+K72/$E$94</f>
        <v>0.29942824096385545</v>
      </c>
      <c r="M72" s="217">
        <f>P19</f>
        <v>28757.718000000001</v>
      </c>
      <c r="N72" s="218">
        <f>+M72/$E$94</f>
        <v>0.30798091566265062</v>
      </c>
      <c r="O72" s="221">
        <v>0.8</v>
      </c>
      <c r="P72" s="220">
        <f>N72/O72</f>
        <v>0.38497614457831325</v>
      </c>
      <c r="Q72" s="219">
        <f t="shared" ref="Q72:Q83" si="120">+P72/L72-1</f>
        <v>0.28570419189278962</v>
      </c>
      <c r="R72" s="144"/>
      <c r="S72" s="144"/>
      <c r="T72" s="144"/>
      <c r="U72" s="144"/>
      <c r="V72" s="217">
        <f>SUMIF($B$16:$B$66,$B72,AB$16:AB$66)/COUNTIF($B$16:$B$66,$B72)</f>
        <v>28501.127</v>
      </c>
      <c r="W72" s="218">
        <f t="shared" ref="W72:W82" si="121">+V72/$E$94</f>
        <v>0.30523295314591703</v>
      </c>
      <c r="X72" s="218"/>
      <c r="Y72" s="217">
        <f>AB19</f>
        <v>29499.671999999999</v>
      </c>
      <c r="Z72" s="218">
        <f>+Y72/$E$94</f>
        <v>0.31592687550200804</v>
      </c>
      <c r="AA72" s="221">
        <v>1</v>
      </c>
      <c r="AB72" s="220">
        <f>Z72/AA72</f>
        <v>0.31592687550200804</v>
      </c>
      <c r="AC72" s="219">
        <f t="shared" ref="AC72:AC82" si="122">+AB72/W72-1</f>
        <v>3.5035281236422522E-2</v>
      </c>
      <c r="AD72" s="144"/>
      <c r="AE72" s="144"/>
      <c r="AF72" s="144"/>
      <c r="AG72" s="144"/>
      <c r="AH72" s="217">
        <f>SUMIF($B$16:$B$66,$B72,AN$16:AN$66)/COUNTIF($B$16:$B$66,$B72)</f>
        <v>28906.894</v>
      </c>
      <c r="AI72" s="218">
        <f t="shared" ref="AI72:AI82" si="123">+AH72/$E$94</f>
        <v>0.30957851673360109</v>
      </c>
      <c r="AJ72" s="218"/>
      <c r="AK72" s="217">
        <f>AN19</f>
        <v>29763.370000000003</v>
      </c>
      <c r="AL72" s="218">
        <f>+AK72/$E$94</f>
        <v>0.31875095046854085</v>
      </c>
      <c r="AM72" s="221">
        <f>AA72</f>
        <v>1</v>
      </c>
      <c r="AN72" s="220">
        <f>AL72/AM72</f>
        <v>0.31875095046854085</v>
      </c>
      <c r="AO72" s="219">
        <f t="shared" ref="AO72:AO82" si="124">+AN72/AI72-1</f>
        <v>2.9628779902814761E-2</v>
      </c>
      <c r="AP72" s="144"/>
      <c r="AQ72" s="144"/>
      <c r="AR72" s="144"/>
      <c r="AS72" s="144"/>
      <c r="AT72" s="217" t="e">
        <f>SUMIF($B$16:$B$66,$B72,AZ$16:AZ$66)/COUNTIF($B$16:$B$66,$B72)</f>
        <v>#REF!</v>
      </c>
      <c r="AU72" s="218" t="e">
        <f t="shared" ref="AU72:AU82" si="125">+AT72/$E$94</f>
        <v>#REF!</v>
      </c>
      <c r="AV72" s="218"/>
      <c r="AW72" s="217" t="e">
        <f>AZ19</f>
        <v>#REF!</v>
      </c>
      <c r="AX72" s="218" t="e">
        <f>+AW72/$E$94</f>
        <v>#REF!</v>
      </c>
      <c r="AY72" s="221">
        <f>AM72</f>
        <v>1</v>
      </c>
      <c r="AZ72" s="220" t="e">
        <f>AX72/AY72</f>
        <v>#REF!</v>
      </c>
      <c r="BA72" s="219" t="e">
        <f t="shared" ref="BA72:BA82" si="126">+AZ72/AU72-1</f>
        <v>#REF!</v>
      </c>
      <c r="BB72" s="144"/>
      <c r="BC72" s="144"/>
      <c r="BD72" s="144"/>
      <c r="BE72" s="144"/>
      <c r="BF72" s="217" t="e">
        <f>SUMIF($B$16:$B$66,$B72,BL$16:BL$66)/COUNTIF($B$16:$B$66,$B72)</f>
        <v>#REF!</v>
      </c>
      <c r="BG72" s="218" t="e">
        <f t="shared" ref="BG72:BG82" si="127">+BF72/$E$94</f>
        <v>#REF!</v>
      </c>
      <c r="BH72" s="218"/>
      <c r="BI72" s="217" t="e">
        <f>BL19</f>
        <v>#REF!</v>
      </c>
      <c r="BJ72" s="218" t="e">
        <f>+BI72/$E$94</f>
        <v>#REF!</v>
      </c>
      <c r="BK72" s="221">
        <f>AY72</f>
        <v>1</v>
      </c>
      <c r="BL72" s="220" t="e">
        <f>BJ72/BK72</f>
        <v>#REF!</v>
      </c>
      <c r="BM72" s="219" t="e">
        <f t="shared" ref="BM72:BM82" si="128">+BL72/BG72-1</f>
        <v>#REF!</v>
      </c>
      <c r="BN72" s="144"/>
      <c r="BO72" s="144">
        <v>100</v>
      </c>
      <c r="BP72" s="207" t="e">
        <f t="shared" ref="BP72:BP75" si="129">BO72*BG72*60</f>
        <v>#REF!</v>
      </c>
      <c r="BR72" s="217" t="e">
        <f>SUMIF($B$16:$B$66,$B72,BX$16:BX$66)/COUNTIF($B$16:$B$66,$B72)</f>
        <v>#REF!</v>
      </c>
      <c r="BS72" s="218" t="e">
        <f t="shared" ref="BS72:BS82" si="130">+BR72/$E$94</f>
        <v>#REF!</v>
      </c>
      <c r="BT72" s="218"/>
      <c r="BU72" s="217" t="e">
        <f>BX19</f>
        <v>#REF!</v>
      </c>
      <c r="BV72" s="218" t="e">
        <f>+BU72/$E$94</f>
        <v>#REF!</v>
      </c>
      <c r="BW72" s="221">
        <f>BK72</f>
        <v>1</v>
      </c>
      <c r="BX72" s="220" t="e">
        <f>BV72/BW72</f>
        <v>#REF!</v>
      </c>
      <c r="BY72" s="219" t="e">
        <f t="shared" ref="BY72:BY82" si="131">+BX72/BS72-1</f>
        <v>#REF!</v>
      </c>
      <c r="BZ72" s="144"/>
      <c r="CA72" s="144">
        <v>100</v>
      </c>
      <c r="CB72" s="207" t="e">
        <f t="shared" ref="CB72:CB75" si="132">CA72*BS72*60</f>
        <v>#REF!</v>
      </c>
      <c r="CD72" s="216" t="s">
        <v>12</v>
      </c>
      <c r="CE72" s="217">
        <f>SUMIF($CD$16:$CD$66,$B72,CN$16:CN$66)/COUNTIF($CD$16:$CD$66,$B72)</f>
        <v>37705.597727999993</v>
      </c>
      <c r="CF72" s="348">
        <f>+CE72/$CM$98</f>
        <v>178.2770578156028</v>
      </c>
      <c r="CG72" s="348">
        <f>CE72/12</f>
        <v>3142.1331439999994</v>
      </c>
      <c r="CH72" s="217">
        <f>CN19</f>
        <v>37705.597727999993</v>
      </c>
      <c r="CI72" s="348">
        <f>+CH72/$CM$98</f>
        <v>178.2770578156028</v>
      </c>
      <c r="CJ72" s="221">
        <f>BW72</f>
        <v>1</v>
      </c>
      <c r="CK72" s="220">
        <f>CI72/CJ72</f>
        <v>178.2770578156028</v>
      </c>
      <c r="CL72" s="219">
        <f t="shared" ref="CL72:CL82" si="133">+CK72/CF72-1</f>
        <v>0</v>
      </c>
      <c r="CM72" s="144"/>
      <c r="CN72" s="144">
        <v>100</v>
      </c>
      <c r="CO72" s="207">
        <f t="shared" ref="CO72:CO75" si="134">CN72*CF72*60</f>
        <v>1069662.346893617</v>
      </c>
    </row>
    <row r="73" spans="1:93">
      <c r="A73" s="144"/>
      <c r="B73" s="216" t="s">
        <v>13</v>
      </c>
      <c r="C73" s="216"/>
      <c r="D73" s="217">
        <f>SUMIF($B$16:$B$66,$B73,I$16:I$66)/COUNTIF($B$16:$B$66,$B73)</f>
        <v>28212.002666666667</v>
      </c>
      <c r="E73" s="218">
        <f t="shared" si="116"/>
        <v>0.3021365747434181</v>
      </c>
      <c r="F73" s="217">
        <f>I22</f>
        <v>30099.421999999999</v>
      </c>
      <c r="G73" s="218">
        <f t="shared" si="117"/>
        <v>0.32234990093708166</v>
      </c>
      <c r="H73" s="219">
        <f t="shared" si="118"/>
        <v>6.690128863355671E-2</v>
      </c>
      <c r="I73" s="144"/>
      <c r="J73" s="144"/>
      <c r="K73" s="217">
        <f>SUMIF($B$16:$B$66,$B73,P$16:P$66)/COUNTIF($B$16:$B$66,$B73)</f>
        <v>29073.64533333333</v>
      </c>
      <c r="L73" s="218">
        <f t="shared" si="119"/>
        <v>0.31136434091923243</v>
      </c>
      <c r="M73" s="217">
        <f>P22</f>
        <v>31003.074000000001</v>
      </c>
      <c r="N73" s="218">
        <f t="shared" ref="N73:N83" si="135">+M73/$E$94</f>
        <v>0.33202756626506025</v>
      </c>
      <c r="O73" s="222">
        <f>O72</f>
        <v>0.8</v>
      </c>
      <c r="P73" s="220">
        <f t="shared" ref="P73:P83" si="136">N73/O73</f>
        <v>0.41503445783132531</v>
      </c>
      <c r="Q73" s="219">
        <f t="shared" si="120"/>
        <v>0.33295436659840494</v>
      </c>
      <c r="R73" s="144"/>
      <c r="S73" s="144"/>
      <c r="T73" s="144"/>
      <c r="U73" s="144"/>
      <c r="V73" s="217">
        <f>SUMIF($B$16:$B$66,$B73,AB$16:AB$66)/COUNTIF($B$16:$B$66,$B73)</f>
        <v>29932.112666666668</v>
      </c>
      <c r="W73" s="218">
        <f t="shared" si="121"/>
        <v>0.32055810084783581</v>
      </c>
      <c r="X73" s="218"/>
      <c r="Y73" s="217">
        <f>AB22</f>
        <v>31805.082000000002</v>
      </c>
      <c r="Z73" s="218">
        <f t="shared" ref="Z73:Z83" si="137">+Y73/$E$94</f>
        <v>0.3406166746987952</v>
      </c>
      <c r="AA73" s="222">
        <f>AA72</f>
        <v>1</v>
      </c>
      <c r="AB73" s="220">
        <f t="shared" ref="AB73:AB83" si="138">Z73/AA73</f>
        <v>0.3406166746987952</v>
      </c>
      <c r="AC73" s="219">
        <f t="shared" si="122"/>
        <v>6.2573910308012737E-2</v>
      </c>
      <c r="AD73" s="144"/>
      <c r="AE73" s="144"/>
      <c r="AF73" s="144"/>
      <c r="AG73" s="144"/>
      <c r="AH73" s="217">
        <f>SUMIF($B$16:$B$66,$B73,AN$16:AN$66)/COUNTIF($B$16:$B$66,$B73)</f>
        <v>31310.85666666667</v>
      </c>
      <c r="AI73" s="218">
        <f t="shared" si="123"/>
        <v>0.33532376617581439</v>
      </c>
      <c r="AJ73" s="218"/>
      <c r="AK73" s="217">
        <f>AN22</f>
        <v>32084.600000000002</v>
      </c>
      <c r="AL73" s="218">
        <f t="shared" ref="AL73:AL83" si="139">+AK73/$E$94</f>
        <v>0.34361017402945115</v>
      </c>
      <c r="AM73" s="222">
        <f>AM72</f>
        <v>1</v>
      </c>
      <c r="AN73" s="220">
        <f t="shared" ref="AN73:AN83" si="140">AL73/AM73</f>
        <v>0.34361017402945115</v>
      </c>
      <c r="AO73" s="219">
        <f t="shared" si="124"/>
        <v>2.4711662844953519E-2</v>
      </c>
      <c r="AP73" s="144"/>
      <c r="AQ73" s="144"/>
      <c r="AR73" s="144"/>
      <c r="AS73" s="144"/>
      <c r="AT73" s="217" t="e">
        <f>SUMIF($B$16:$B$66,$B73,AZ$16:AZ$66)/COUNTIF($B$16:$B$66,$B73)</f>
        <v>#REF!</v>
      </c>
      <c r="AU73" s="218" t="e">
        <f t="shared" si="125"/>
        <v>#REF!</v>
      </c>
      <c r="AV73" s="218"/>
      <c r="AW73" s="217" t="e">
        <f>AZ22</f>
        <v>#REF!</v>
      </c>
      <c r="AX73" s="218" t="e">
        <f t="shared" ref="AX73:AX83" si="141">+AW73/$E$94</f>
        <v>#REF!</v>
      </c>
      <c r="AY73" s="222">
        <f>AY72</f>
        <v>1</v>
      </c>
      <c r="AZ73" s="220" t="e">
        <f t="shared" ref="AZ73:AZ83" si="142">AX73/AY73</f>
        <v>#REF!</v>
      </c>
      <c r="BA73" s="219" t="e">
        <f t="shared" si="126"/>
        <v>#REF!</v>
      </c>
      <c r="BB73" s="144"/>
      <c r="BC73" s="144"/>
      <c r="BD73" s="144"/>
      <c r="BE73" s="144"/>
      <c r="BF73" s="217" t="e">
        <f>SUMIF($B$16:$B$66,$B73,BL$16:BL$66)/COUNTIF($B$16:$B$66,$B73)</f>
        <v>#REF!</v>
      </c>
      <c r="BG73" s="218" t="e">
        <f t="shared" si="127"/>
        <v>#REF!</v>
      </c>
      <c r="BH73" s="218"/>
      <c r="BI73" s="217" t="e">
        <f>BL22</f>
        <v>#REF!</v>
      </c>
      <c r="BJ73" s="218" t="e">
        <f t="shared" ref="BJ73:BJ83" si="143">+BI73/$E$94</f>
        <v>#REF!</v>
      </c>
      <c r="BK73" s="222">
        <f>BK72</f>
        <v>1</v>
      </c>
      <c r="BL73" s="220" t="e">
        <f t="shared" ref="BL73:BL83" si="144">BJ73/BK73</f>
        <v>#REF!</v>
      </c>
      <c r="BM73" s="219" t="e">
        <f t="shared" si="128"/>
        <v>#REF!</v>
      </c>
      <c r="BN73" s="144"/>
      <c r="BO73" s="144">
        <v>100</v>
      </c>
      <c r="BP73" s="207" t="e">
        <f t="shared" si="129"/>
        <v>#REF!</v>
      </c>
      <c r="BR73" s="217" t="e">
        <f>SUMIF($B$16:$B$66,$B73,BX$16:BX$66)/COUNTIF($B$16:$B$66,$B73)</f>
        <v>#REF!</v>
      </c>
      <c r="BS73" s="218" t="e">
        <f t="shared" si="130"/>
        <v>#REF!</v>
      </c>
      <c r="BT73" s="218"/>
      <c r="BU73" s="217" t="e">
        <f>BX22</f>
        <v>#REF!</v>
      </c>
      <c r="BV73" s="218" t="e">
        <f t="shared" ref="BV73:BV83" si="145">+BU73/$E$94</f>
        <v>#REF!</v>
      </c>
      <c r="BW73" s="222">
        <f>BW72</f>
        <v>1</v>
      </c>
      <c r="BX73" s="220" t="e">
        <f t="shared" ref="BX73:BX83" si="146">BV73/BW73</f>
        <v>#REF!</v>
      </c>
      <c r="BY73" s="219" t="e">
        <f t="shared" si="131"/>
        <v>#REF!</v>
      </c>
      <c r="BZ73" s="144"/>
      <c r="CA73" s="144">
        <v>100</v>
      </c>
      <c r="CB73" s="207" t="e">
        <f t="shared" si="132"/>
        <v>#REF!</v>
      </c>
      <c r="CD73" s="216" t="s">
        <v>13</v>
      </c>
      <c r="CE73" s="217">
        <f>SUMIF($CD$16:$CD$66,$B73,CN$16:CN$66)/COUNTIF($CD$16:$CD$66,$B73)</f>
        <v>39403.077375999994</v>
      </c>
      <c r="CF73" s="348">
        <f t="shared" ref="CF73:CF82" si="147">+CE73/$CM$98</f>
        <v>186.30296631678485</v>
      </c>
      <c r="CG73" s="348">
        <f t="shared" ref="CG73:CG82" si="148">CE73/12</f>
        <v>3283.5897813333327</v>
      </c>
      <c r="CH73" s="217">
        <f>CN22</f>
        <v>40434.636287999994</v>
      </c>
      <c r="CI73" s="348">
        <f t="shared" ref="CI73:CI82" si="149">+CH73/$CM$98</f>
        <v>191.18031341843968</v>
      </c>
      <c r="CJ73" s="222">
        <f>CJ72</f>
        <v>1</v>
      </c>
      <c r="CK73" s="220">
        <f t="shared" ref="CK73:CK83" si="150">CI73/CJ73</f>
        <v>191.18031341843968</v>
      </c>
      <c r="CL73" s="219">
        <f t="shared" si="133"/>
        <v>2.6179653486362087E-2</v>
      </c>
      <c r="CM73" s="144"/>
      <c r="CN73" s="144">
        <v>100</v>
      </c>
      <c r="CO73" s="207">
        <f t="shared" si="134"/>
        <v>1117817.7979007091</v>
      </c>
    </row>
    <row r="74" spans="1:93">
      <c r="A74" s="144"/>
      <c r="B74" s="216" t="s">
        <v>14</v>
      </c>
      <c r="C74" s="216"/>
      <c r="D74" s="217">
        <f>SUMIF($B$16:$B$66,$B74,I$16:I$66)/COUNTIF($B$16:$B$66,$B74)</f>
        <v>31919.845020000001</v>
      </c>
      <c r="E74" s="218">
        <f t="shared" si="116"/>
        <v>0.34184572979919681</v>
      </c>
      <c r="F74" s="217">
        <f>I26</f>
        <v>34172.307456000002</v>
      </c>
      <c r="G74" s="218">
        <f t="shared" si="117"/>
        <v>0.365968486811245</v>
      </c>
      <c r="H74" s="219">
        <f t="shared" si="118"/>
        <v>7.0566208406985576E-2</v>
      </c>
      <c r="I74" s="144"/>
      <c r="J74" s="144"/>
      <c r="K74" s="217">
        <f>SUMIF($B$16:$B$66,$B74,P$16:P$66)/COUNTIF($B$16:$B$66,$B74)</f>
        <v>32702.587299999999</v>
      </c>
      <c r="L74" s="218">
        <f t="shared" si="119"/>
        <v>0.35022851191432397</v>
      </c>
      <c r="M74" s="217">
        <f>P26</f>
        <v>35197.491600000001</v>
      </c>
      <c r="N74" s="218">
        <f t="shared" si="135"/>
        <v>0.3769477012048193</v>
      </c>
      <c r="O74" s="222">
        <f t="shared" ref="O74:O82" si="151">O73</f>
        <v>0.8</v>
      </c>
      <c r="P74" s="220">
        <f t="shared" si="136"/>
        <v>0.47118462650602411</v>
      </c>
      <c r="Q74" s="219">
        <f t="shared" si="120"/>
        <v>0.34536341410515869</v>
      </c>
      <c r="R74" s="144"/>
      <c r="S74" s="144"/>
      <c r="T74" s="144"/>
      <c r="U74" s="144"/>
      <c r="V74" s="217">
        <f>SUMIF($B$16:$B$66,$B74,AB$16:AB$66)/COUNTIF($B$16:$B$66,$B74)</f>
        <v>33447.940900000001</v>
      </c>
      <c r="W74" s="218">
        <f t="shared" si="121"/>
        <v>0.3582108797858099</v>
      </c>
      <c r="X74" s="218"/>
      <c r="Y74" s="217">
        <f>AB26</f>
        <v>36108.703200000004</v>
      </c>
      <c r="Z74" s="218">
        <f t="shared" si="137"/>
        <v>0.38670632610441769</v>
      </c>
      <c r="AA74" s="222">
        <f t="shared" ref="AA74:AA82" si="152">AA73</f>
        <v>1</v>
      </c>
      <c r="AB74" s="220">
        <f t="shared" si="138"/>
        <v>0.38670632610441769</v>
      </c>
      <c r="AC74" s="219">
        <f t="shared" si="122"/>
        <v>7.9549360241784051E-2</v>
      </c>
      <c r="AD74" s="144"/>
      <c r="AE74" s="144"/>
      <c r="AF74" s="144"/>
      <c r="AG74" s="144"/>
      <c r="AH74" s="217">
        <f>SUMIF($B$16:$B$66,$B74,AN$16:AN$66)/COUNTIF($B$16:$B$66,$B74)</f>
        <v>34735.946199999998</v>
      </c>
      <c r="AI74" s="218">
        <f t="shared" si="123"/>
        <v>0.37200477858099062</v>
      </c>
      <c r="AJ74" s="218"/>
      <c r="AK74" s="217">
        <f>AN26</f>
        <v>36422.792399999998</v>
      </c>
      <c r="AL74" s="218">
        <f t="shared" si="139"/>
        <v>0.39007006586345377</v>
      </c>
      <c r="AM74" s="222">
        <f t="shared" ref="AM74:AM82" si="153">AM73</f>
        <v>1</v>
      </c>
      <c r="AN74" s="220">
        <f t="shared" si="140"/>
        <v>0.39007006586345377</v>
      </c>
      <c r="AO74" s="219">
        <f t="shared" si="124"/>
        <v>4.8561976411628516E-2</v>
      </c>
      <c r="AP74" s="144"/>
      <c r="AQ74" s="144"/>
      <c r="AR74" s="144"/>
      <c r="AS74" s="144"/>
      <c r="AT74" s="217" t="e">
        <f>SUMIF($B$16:$B$66,$B74,AZ$16:AZ$66)/COUNTIF($B$16:$B$66,$B74)</f>
        <v>#REF!</v>
      </c>
      <c r="AU74" s="218" t="e">
        <f t="shared" si="125"/>
        <v>#REF!</v>
      </c>
      <c r="AV74" s="218"/>
      <c r="AW74" s="217" t="e">
        <f>AZ26</f>
        <v>#REF!</v>
      </c>
      <c r="AX74" s="218" t="e">
        <f t="shared" si="141"/>
        <v>#REF!</v>
      </c>
      <c r="AY74" s="222">
        <f t="shared" ref="AY74:AY82" si="154">AY73</f>
        <v>1</v>
      </c>
      <c r="AZ74" s="220" t="e">
        <f t="shared" si="142"/>
        <v>#REF!</v>
      </c>
      <c r="BA74" s="219" t="e">
        <f t="shared" si="126"/>
        <v>#REF!</v>
      </c>
      <c r="BB74" s="144"/>
      <c r="BC74" s="144"/>
      <c r="BD74" s="144"/>
      <c r="BE74" s="144"/>
      <c r="BF74" s="217" t="e">
        <f>SUMIF($B$16:$B$66,$B74,BL$16:BL$66)/COUNTIF($B$16:$B$66,$B74)</f>
        <v>#REF!</v>
      </c>
      <c r="BG74" s="218" t="e">
        <f t="shared" si="127"/>
        <v>#REF!</v>
      </c>
      <c r="BH74" s="218"/>
      <c r="BI74" s="217" t="e">
        <f>BL26</f>
        <v>#REF!</v>
      </c>
      <c r="BJ74" s="218" t="e">
        <f t="shared" si="143"/>
        <v>#REF!</v>
      </c>
      <c r="BK74" s="222">
        <f t="shared" ref="BK74:BK82" si="155">BK73</f>
        <v>1</v>
      </c>
      <c r="BL74" s="220" t="e">
        <f t="shared" si="144"/>
        <v>#REF!</v>
      </c>
      <c r="BM74" s="219" t="e">
        <f t="shared" si="128"/>
        <v>#REF!</v>
      </c>
      <c r="BN74" s="144"/>
      <c r="BO74" s="144">
        <v>100</v>
      </c>
      <c r="BP74" s="207" t="e">
        <f t="shared" si="129"/>
        <v>#REF!</v>
      </c>
      <c r="BR74" s="217" t="e">
        <f>SUMIF($B$16:$B$66,$B74,BX$16:BX$66)/COUNTIF($B$16:$B$66,$B74)</f>
        <v>#REF!</v>
      </c>
      <c r="BS74" s="218" t="e">
        <f t="shared" si="130"/>
        <v>#REF!</v>
      </c>
      <c r="BT74" s="218"/>
      <c r="BU74" s="217" t="e">
        <f>BX26</f>
        <v>#REF!</v>
      </c>
      <c r="BV74" s="218" t="e">
        <f t="shared" si="145"/>
        <v>#REF!</v>
      </c>
      <c r="BW74" s="222">
        <f t="shared" ref="BW74:BW82" si="156">BW73</f>
        <v>1</v>
      </c>
      <c r="BX74" s="220" t="e">
        <f t="shared" si="146"/>
        <v>#REF!</v>
      </c>
      <c r="BY74" s="219" t="e">
        <f t="shared" si="131"/>
        <v>#REF!</v>
      </c>
      <c r="BZ74" s="144"/>
      <c r="CA74" s="144">
        <v>100</v>
      </c>
      <c r="CB74" s="207" t="e">
        <f t="shared" si="132"/>
        <v>#REF!</v>
      </c>
      <c r="CD74" s="216" t="s">
        <v>14</v>
      </c>
      <c r="CE74" s="217">
        <f>SUMIF($CD$16:$CD$66,$B74,CN$16:CN$66)/COUNTIF($CD$16:$CD$66,$B74)</f>
        <v>43583.231407200001</v>
      </c>
      <c r="CF74" s="348">
        <f t="shared" si="147"/>
        <v>206.06728797730497</v>
      </c>
      <c r="CG74" s="348">
        <f t="shared" si="148"/>
        <v>3631.9359506000001</v>
      </c>
      <c r="CH74" s="217">
        <f>CN26</f>
        <v>45533.434156799995</v>
      </c>
      <c r="CI74" s="348">
        <f t="shared" si="149"/>
        <v>215.28810476028366</v>
      </c>
      <c r="CJ74" s="222">
        <f t="shared" ref="CJ74:CJ82" si="157">CJ73</f>
        <v>1</v>
      </c>
      <c r="CK74" s="220">
        <f t="shared" si="150"/>
        <v>215.28810476028366</v>
      </c>
      <c r="CL74" s="219">
        <f t="shared" si="133"/>
        <v>4.4746630450118952E-2</v>
      </c>
      <c r="CM74" s="144"/>
      <c r="CN74" s="144">
        <v>100</v>
      </c>
      <c r="CO74" s="207">
        <f t="shared" si="134"/>
        <v>1236403.7278638298</v>
      </c>
    </row>
    <row r="75" spans="1:93">
      <c r="A75" s="144"/>
      <c r="B75" s="216" t="s">
        <v>15</v>
      </c>
      <c r="C75" s="216"/>
      <c r="D75" s="217">
        <f>SUMIF($B$16:$B$66,$B75,I$16:I$66)/COUNTIF($B$16:$B$66,$B75)</f>
        <v>37928.391441599997</v>
      </c>
      <c r="E75" s="218">
        <f t="shared" si="116"/>
        <v>0.40619428585381523</v>
      </c>
      <c r="F75" s="217">
        <f>I31</f>
        <v>43529.377199999995</v>
      </c>
      <c r="G75" s="218">
        <f t="shared" si="117"/>
        <v>0.46617806907630516</v>
      </c>
      <c r="H75" s="219">
        <f t="shared" si="118"/>
        <v>0.14767264166802541</v>
      </c>
      <c r="I75" s="144"/>
      <c r="J75" s="144"/>
      <c r="K75" s="217">
        <f>SUMIF($B$16:$B$66,$B75,P$16:P$66)/COUNTIF($B$16:$B$66,$B75)</f>
        <v>38791.604399999997</v>
      </c>
      <c r="L75" s="218">
        <f t="shared" si="119"/>
        <v>0.41543886907630517</v>
      </c>
      <c r="M75" s="217">
        <f>P31</f>
        <v>44834.775600000001</v>
      </c>
      <c r="N75" s="218">
        <f t="shared" si="135"/>
        <v>0.48015823935742974</v>
      </c>
      <c r="O75" s="222">
        <f t="shared" si="151"/>
        <v>0.8</v>
      </c>
      <c r="P75" s="220">
        <f t="shared" si="136"/>
        <v>0.60019779919678717</v>
      </c>
      <c r="Q75" s="219">
        <f t="shared" si="120"/>
        <v>0.44473193019054413</v>
      </c>
      <c r="R75" s="144"/>
      <c r="S75" s="144"/>
      <c r="T75" s="144"/>
      <c r="U75" s="144"/>
      <c r="V75" s="217">
        <f>SUMIF($B$16:$B$66,$B75,AB$16:AB$66)/COUNTIF($B$16:$B$66,$B75)</f>
        <v>39965.698399999994</v>
      </c>
      <c r="W75" s="218">
        <f t="shared" si="121"/>
        <v>0.42801283427041492</v>
      </c>
      <c r="X75" s="218"/>
      <c r="Y75" s="217">
        <f>AB31</f>
        <v>45989.2264</v>
      </c>
      <c r="Z75" s="218">
        <f t="shared" si="137"/>
        <v>0.49252183560910306</v>
      </c>
      <c r="AA75" s="222">
        <f t="shared" si="152"/>
        <v>1</v>
      </c>
      <c r="AB75" s="220">
        <f t="shared" si="138"/>
        <v>0.49252183560910306</v>
      </c>
      <c r="AC75" s="219">
        <f t="shared" si="122"/>
        <v>0.15071744623884786</v>
      </c>
      <c r="AD75" s="144"/>
      <c r="AE75" s="144"/>
      <c r="AF75" s="144"/>
      <c r="AG75" s="144"/>
      <c r="AH75" s="217">
        <f>SUMIF($B$16:$B$66,$B75,AN$16:AN$66)/COUNTIF($B$16:$B$66,$B75)</f>
        <v>41389.735920000006</v>
      </c>
      <c r="AI75" s="218">
        <f t="shared" si="123"/>
        <v>0.44326357076305228</v>
      </c>
      <c r="AJ75" s="218"/>
      <c r="AK75" s="217">
        <f>AN31</f>
        <v>46388.778000000006</v>
      </c>
      <c r="AL75" s="218">
        <f t="shared" si="139"/>
        <v>0.49680083534136554</v>
      </c>
      <c r="AM75" s="222">
        <f t="shared" si="153"/>
        <v>1</v>
      </c>
      <c r="AN75" s="220">
        <f t="shared" si="140"/>
        <v>0.49680083534136554</v>
      </c>
      <c r="AO75" s="219">
        <f t="shared" si="124"/>
        <v>0.12077975297214705</v>
      </c>
      <c r="AP75" s="144"/>
      <c r="AQ75" s="144"/>
      <c r="AR75" s="144"/>
      <c r="AS75" s="144"/>
      <c r="AT75" s="217" t="e">
        <f>SUMIF($B$16:$B$66,$B75,AZ$16:AZ$66)/COUNTIF($B$16:$B$66,$B75)</f>
        <v>#REF!</v>
      </c>
      <c r="AU75" s="218" t="e">
        <f t="shared" si="125"/>
        <v>#REF!</v>
      </c>
      <c r="AV75" s="218"/>
      <c r="AW75" s="217" t="e">
        <f>AZ31</f>
        <v>#REF!</v>
      </c>
      <c r="AX75" s="218" t="e">
        <f t="shared" si="141"/>
        <v>#REF!</v>
      </c>
      <c r="AY75" s="222">
        <f t="shared" si="154"/>
        <v>1</v>
      </c>
      <c r="AZ75" s="220" t="e">
        <f t="shared" si="142"/>
        <v>#REF!</v>
      </c>
      <c r="BA75" s="219" t="e">
        <f t="shared" si="126"/>
        <v>#REF!</v>
      </c>
      <c r="BB75" s="144"/>
      <c r="BC75" s="144"/>
      <c r="BD75" s="144"/>
      <c r="BE75" s="144"/>
      <c r="BF75" s="217" t="e">
        <f>SUMIF($B$16:$B$66,$B75,BL$16:BL$66)/COUNTIF($B$16:$B$66,$B75)</f>
        <v>#REF!</v>
      </c>
      <c r="BG75" s="218" t="e">
        <f t="shared" si="127"/>
        <v>#REF!</v>
      </c>
      <c r="BH75" s="218"/>
      <c r="BI75" s="217" t="e">
        <f>BL31</f>
        <v>#REF!</v>
      </c>
      <c r="BJ75" s="218" t="e">
        <f t="shared" si="143"/>
        <v>#REF!</v>
      </c>
      <c r="BK75" s="222">
        <f t="shared" si="155"/>
        <v>1</v>
      </c>
      <c r="BL75" s="220" t="e">
        <f t="shared" si="144"/>
        <v>#REF!</v>
      </c>
      <c r="BM75" s="219" t="e">
        <f t="shared" si="128"/>
        <v>#REF!</v>
      </c>
      <c r="BN75" s="144"/>
      <c r="BO75" s="144">
        <v>100</v>
      </c>
      <c r="BP75" s="207" t="e">
        <f t="shared" si="129"/>
        <v>#REF!</v>
      </c>
      <c r="BR75" s="217" t="e">
        <f>SUMIF($B$16:$B$66,$B75,BX$16:BX$66)/COUNTIF($B$16:$B$66,$B75)</f>
        <v>#REF!</v>
      </c>
      <c r="BS75" s="218" t="e">
        <f t="shared" si="130"/>
        <v>#REF!</v>
      </c>
      <c r="BT75" s="218"/>
      <c r="BU75" s="217" t="e">
        <f>BX31</f>
        <v>#REF!</v>
      </c>
      <c r="BV75" s="218" t="e">
        <f t="shared" si="145"/>
        <v>#REF!</v>
      </c>
      <c r="BW75" s="222">
        <f t="shared" si="156"/>
        <v>1</v>
      </c>
      <c r="BX75" s="220" t="e">
        <f t="shared" si="146"/>
        <v>#REF!</v>
      </c>
      <c r="BY75" s="219" t="e">
        <f t="shared" si="131"/>
        <v>#REF!</v>
      </c>
      <c r="BZ75" s="144"/>
      <c r="CA75" s="144">
        <v>100</v>
      </c>
      <c r="CB75" s="207" t="e">
        <f t="shared" si="132"/>
        <v>#REF!</v>
      </c>
      <c r="CD75" s="216" t="s">
        <v>15</v>
      </c>
      <c r="CE75" s="217">
        <f>SUMIF($CD$16:$CD$66,$B75,CN$16:CN$66)/COUNTIF($CD$16:$CD$66,$B75)</f>
        <v>52229.381971200011</v>
      </c>
      <c r="CF75" s="348">
        <f t="shared" si="147"/>
        <v>246.9474324879433</v>
      </c>
      <c r="CG75" s="348">
        <f t="shared" si="148"/>
        <v>4352.4484976000012</v>
      </c>
      <c r="CH75" s="217">
        <f>CN31</f>
        <v>57248.163369600006</v>
      </c>
      <c r="CI75" s="348">
        <f t="shared" si="149"/>
        <v>270.67689536453906</v>
      </c>
      <c r="CJ75" s="222">
        <f t="shared" si="157"/>
        <v>1</v>
      </c>
      <c r="CK75" s="220">
        <f t="shared" si="150"/>
        <v>270.67689536453906</v>
      </c>
      <c r="CL75" s="219">
        <f t="shared" si="133"/>
        <v>9.6091150402036751E-2</v>
      </c>
      <c r="CM75" s="144"/>
      <c r="CN75" s="144">
        <v>100</v>
      </c>
      <c r="CO75" s="207">
        <f t="shared" si="134"/>
        <v>1481684.5949276597</v>
      </c>
    </row>
    <row r="76" spans="1:93">
      <c r="A76" s="144"/>
      <c r="B76" s="216" t="s">
        <v>16</v>
      </c>
      <c r="C76" s="216"/>
      <c r="D76" s="217">
        <f>SUMIF($B$16:$B$66,$B76,I$16:I$66)/COUNTIF($B$16:$B$66,$B76)</f>
        <v>46599.368868799997</v>
      </c>
      <c r="E76" s="218">
        <f t="shared" si="116"/>
        <v>0.49905615923748325</v>
      </c>
      <c r="F76" s="217">
        <f>I36</f>
        <v>53240.027500000004</v>
      </c>
      <c r="G76" s="218">
        <f t="shared" si="117"/>
        <v>0.57017432396251677</v>
      </c>
      <c r="H76" s="219">
        <f t="shared" si="118"/>
        <v>0.14250533413653521</v>
      </c>
      <c r="I76" s="144"/>
      <c r="J76" s="144"/>
      <c r="K76" s="217">
        <f>SUMIF($B$16:$B$66,$B76,P$16:P$66)/COUNTIF($B$16:$B$66,$B76)</f>
        <v>47803.635200000004</v>
      </c>
      <c r="L76" s="218">
        <f t="shared" si="119"/>
        <v>0.51195325515394918</v>
      </c>
      <c r="M76" s="217">
        <f>P36</f>
        <v>54836.512000000002</v>
      </c>
      <c r="N76" s="218">
        <f t="shared" si="135"/>
        <v>0.58727188219544846</v>
      </c>
      <c r="O76" s="222">
        <f t="shared" si="151"/>
        <v>0.8</v>
      </c>
      <c r="P76" s="220">
        <f t="shared" si="136"/>
        <v>0.73408985274431049</v>
      </c>
      <c r="Q76" s="219">
        <f t="shared" si="120"/>
        <v>0.43390015661403059</v>
      </c>
      <c r="R76" s="144"/>
      <c r="S76" s="144"/>
      <c r="T76" s="144"/>
      <c r="U76" s="144"/>
      <c r="V76" s="217">
        <f>SUMIF($B$16:$B$66,$B76,AB$16:AB$66)/COUNTIF($B$16:$B$66,$B76)</f>
        <v>49735.879759999996</v>
      </c>
      <c r="W76" s="218">
        <f t="shared" si="121"/>
        <v>0.53264663732262374</v>
      </c>
      <c r="X76" s="218"/>
      <c r="Y76" s="217">
        <f>AB36</f>
        <v>56250.874000000003</v>
      </c>
      <c r="Z76" s="218">
        <f t="shared" si="137"/>
        <v>0.60241899866131199</v>
      </c>
      <c r="AA76" s="222">
        <f t="shared" si="152"/>
        <v>1</v>
      </c>
      <c r="AB76" s="220">
        <f t="shared" si="138"/>
        <v>0.60241899866131199</v>
      </c>
      <c r="AC76" s="219">
        <f t="shared" si="122"/>
        <v>0.130991836706982</v>
      </c>
      <c r="AD76" s="144"/>
      <c r="AE76" s="144"/>
      <c r="AF76" s="144"/>
      <c r="AG76" s="144"/>
      <c r="AH76" s="217">
        <f>SUMIF($B$16:$B$66,$B76,AN$16:AN$66)/COUNTIF($B$16:$B$66,$B76)</f>
        <v>51246.051439999996</v>
      </c>
      <c r="AI76" s="218">
        <f t="shared" si="123"/>
        <v>0.54881982800535467</v>
      </c>
      <c r="AJ76" s="218"/>
      <c r="AK76" s="217">
        <f>AN36</f>
        <v>56730.79</v>
      </c>
      <c r="AL76" s="218">
        <f t="shared" si="139"/>
        <v>0.60755866131191438</v>
      </c>
      <c r="AM76" s="222">
        <f t="shared" si="153"/>
        <v>1</v>
      </c>
      <c r="AN76" s="220">
        <f t="shared" si="140"/>
        <v>0.60755866131191438</v>
      </c>
      <c r="AO76" s="219">
        <f t="shared" si="124"/>
        <v>0.10702753491986927</v>
      </c>
      <c r="AP76" s="144"/>
      <c r="AQ76" s="144"/>
      <c r="AR76" s="144"/>
      <c r="AS76" s="144"/>
      <c r="AT76" s="217" t="e">
        <f>SUMIF($B$16:$B$66,$B76,AZ$16:AZ$66)/COUNTIF($B$16:$B$66,$B76)</f>
        <v>#REF!</v>
      </c>
      <c r="AU76" s="218" t="e">
        <f t="shared" si="125"/>
        <v>#REF!</v>
      </c>
      <c r="AV76" s="218"/>
      <c r="AW76" s="217" t="e">
        <f>AZ36</f>
        <v>#REF!</v>
      </c>
      <c r="AX76" s="218" t="e">
        <f t="shared" si="141"/>
        <v>#REF!</v>
      </c>
      <c r="AY76" s="222">
        <f t="shared" si="154"/>
        <v>1</v>
      </c>
      <c r="AZ76" s="220" t="e">
        <f t="shared" si="142"/>
        <v>#REF!</v>
      </c>
      <c r="BA76" s="219" t="e">
        <f t="shared" si="126"/>
        <v>#REF!</v>
      </c>
      <c r="BB76" s="144"/>
      <c r="BC76" s="144">
        <v>480</v>
      </c>
      <c r="BD76" s="207" t="e">
        <f>BC76*AU76*60</f>
        <v>#REF!</v>
      </c>
      <c r="BE76" s="144"/>
      <c r="BF76" s="217" t="e">
        <f>SUMIF($B$16:$B$66,$B76,BL$16:BL$66)/COUNTIF($B$16:$B$66,$B76)</f>
        <v>#REF!</v>
      </c>
      <c r="BG76" s="218" t="e">
        <f t="shared" si="127"/>
        <v>#REF!</v>
      </c>
      <c r="BH76" s="218"/>
      <c r="BI76" s="217" t="e">
        <f>BL36</f>
        <v>#REF!</v>
      </c>
      <c r="BJ76" s="218" t="e">
        <f t="shared" si="143"/>
        <v>#REF!</v>
      </c>
      <c r="BK76" s="222">
        <f t="shared" si="155"/>
        <v>1</v>
      </c>
      <c r="BL76" s="220" t="e">
        <f t="shared" si="144"/>
        <v>#REF!</v>
      </c>
      <c r="BM76" s="219" t="e">
        <f t="shared" si="128"/>
        <v>#REF!</v>
      </c>
      <c r="BN76" s="144"/>
      <c r="BO76" s="144">
        <v>100</v>
      </c>
      <c r="BP76" s="207" t="e">
        <f>BO76*BG76*60</f>
        <v>#REF!</v>
      </c>
      <c r="BR76" s="217" t="e">
        <f>SUMIF($B$16:$B$66,$B76,BX$16:BX$66)/COUNTIF($B$16:$B$66,$B76)</f>
        <v>#REF!</v>
      </c>
      <c r="BS76" s="218" t="e">
        <f t="shared" si="130"/>
        <v>#REF!</v>
      </c>
      <c r="BT76" s="218"/>
      <c r="BU76" s="217" t="e">
        <f>BX36</f>
        <v>#REF!</v>
      </c>
      <c r="BV76" s="218" t="e">
        <f t="shared" si="145"/>
        <v>#REF!</v>
      </c>
      <c r="BW76" s="222">
        <f t="shared" si="156"/>
        <v>1</v>
      </c>
      <c r="BX76" s="220" t="e">
        <f t="shared" si="146"/>
        <v>#REF!</v>
      </c>
      <c r="BY76" s="219" t="e">
        <f t="shared" si="131"/>
        <v>#REF!</v>
      </c>
      <c r="BZ76" s="144"/>
      <c r="CA76" s="144">
        <v>100</v>
      </c>
      <c r="CB76" s="207" t="e">
        <f>CA76*BS76*60</f>
        <v>#REF!</v>
      </c>
      <c r="CD76" s="216" t="s">
        <v>16</v>
      </c>
      <c r="CE76" s="217">
        <f>SUMIF($CD$16:$CD$66,$B76,CN$16:CN$66)/COUNTIF($CD$16:$CD$66,$B76)</f>
        <v>63787.628642879994</v>
      </c>
      <c r="CF76" s="348">
        <f t="shared" si="147"/>
        <v>301.59635292141843</v>
      </c>
      <c r="CG76" s="348">
        <f t="shared" si="148"/>
        <v>5315.6357202399995</v>
      </c>
      <c r="CH76" s="217">
        <f>CN36</f>
        <v>69640.647983999996</v>
      </c>
      <c r="CI76" s="348">
        <f t="shared" si="149"/>
        <v>329.27020323404253</v>
      </c>
      <c r="CJ76" s="222">
        <f t="shared" si="157"/>
        <v>1</v>
      </c>
      <c r="CK76" s="220">
        <f t="shared" si="150"/>
        <v>329.27020323404253</v>
      </c>
      <c r="CL76" s="219">
        <f t="shared" si="133"/>
        <v>9.1757907695371177E-2</v>
      </c>
      <c r="CM76" s="144"/>
      <c r="CN76" s="144">
        <v>100</v>
      </c>
      <c r="CO76" s="207">
        <f>CN76*CF76*60</f>
        <v>1809578.1175285107</v>
      </c>
    </row>
    <row r="77" spans="1:93">
      <c r="A77" s="144"/>
      <c r="B77" s="216" t="s">
        <v>17</v>
      </c>
      <c r="C77" s="216"/>
      <c r="D77" s="217">
        <f>SUMIF($B$16:$B$66,$B77,I$16:I$66)/COUNTIF($B$16:$B$66,$B77)</f>
        <v>54537.757363199999</v>
      </c>
      <c r="E77" s="218">
        <f t="shared" si="116"/>
        <v>0.58407236801285134</v>
      </c>
      <c r="F77" s="217">
        <f>I41</f>
        <v>61225.41878</v>
      </c>
      <c r="G77" s="218">
        <f t="shared" si="117"/>
        <v>0.65569390929049531</v>
      </c>
      <c r="H77" s="219">
        <f t="shared" si="118"/>
        <v>0.12262443012210444</v>
      </c>
      <c r="I77" s="144"/>
      <c r="J77" s="144"/>
      <c r="K77" s="217">
        <f>SUMIF($B$16:$B$66,$B77,P$16:P$66)/COUNTIF($B$16:$B$66,$B77)</f>
        <v>55928.171680000007</v>
      </c>
      <c r="L77" s="218">
        <f t="shared" si="119"/>
        <v>0.59896301665327989</v>
      </c>
      <c r="M77" s="217">
        <f>P41</f>
        <v>63063.054000000004</v>
      </c>
      <c r="N77" s="218">
        <f t="shared" si="135"/>
        <v>0.67537407228915669</v>
      </c>
      <c r="O77" s="222">
        <f t="shared" si="151"/>
        <v>0.8</v>
      </c>
      <c r="P77" s="220">
        <f t="shared" si="136"/>
        <v>0.84421759036144584</v>
      </c>
      <c r="Q77" s="219">
        <f t="shared" si="120"/>
        <v>0.40946530401581671</v>
      </c>
      <c r="R77" s="144"/>
      <c r="S77" s="144"/>
      <c r="T77" s="144"/>
      <c r="U77" s="144"/>
      <c r="V77" s="217">
        <f>SUMIF($B$16:$B$66,$B77,AB$16:AB$66)/COUNTIF($B$16:$B$66,$B77)</f>
        <v>58834.594400000002</v>
      </c>
      <c r="W77" s="218">
        <f t="shared" si="121"/>
        <v>0.63008936439089691</v>
      </c>
      <c r="X77" s="218"/>
      <c r="Y77" s="217">
        <f>AB41</f>
        <v>64697.101999999999</v>
      </c>
      <c r="Z77" s="218">
        <f t="shared" si="137"/>
        <v>0.69287391700133871</v>
      </c>
      <c r="AA77" s="222">
        <f t="shared" si="152"/>
        <v>1</v>
      </c>
      <c r="AB77" s="220">
        <f t="shared" si="138"/>
        <v>0.69287391700133871</v>
      </c>
      <c r="AC77" s="219">
        <f t="shared" si="122"/>
        <v>9.9643885706808044E-2</v>
      </c>
      <c r="AD77" s="144"/>
      <c r="AE77" s="144"/>
      <c r="AF77" s="144"/>
      <c r="AG77" s="144"/>
      <c r="AH77" s="217">
        <f>SUMIF($B$16:$B$66,$B77,AN$16:AN$66)/COUNTIF($B$16:$B$66,$B77)</f>
        <v>61219.9588</v>
      </c>
      <c r="AI77" s="218">
        <f t="shared" si="123"/>
        <v>0.65563543560910309</v>
      </c>
      <c r="AJ77" s="218"/>
      <c r="AK77" s="217">
        <f>AN41</f>
        <v>65235.108</v>
      </c>
      <c r="AL77" s="218">
        <f t="shared" si="139"/>
        <v>0.69863569477911647</v>
      </c>
      <c r="AM77" s="222">
        <f t="shared" si="153"/>
        <v>1</v>
      </c>
      <c r="AN77" s="220">
        <f t="shared" si="140"/>
        <v>0.69863569477911647</v>
      </c>
      <c r="AO77" s="219">
        <f t="shared" si="124"/>
        <v>6.5585624013846822E-2</v>
      </c>
      <c r="AP77" s="144"/>
      <c r="AQ77" s="144"/>
      <c r="AR77" s="144"/>
      <c r="AS77" s="144"/>
      <c r="AT77" s="217" t="e">
        <f>SUMIF($B$16:$B$66,$B77,AZ$16:AZ$66)/COUNTIF($B$16:$B$66,$B77)</f>
        <v>#REF!</v>
      </c>
      <c r="AU77" s="218" t="e">
        <f t="shared" si="125"/>
        <v>#REF!</v>
      </c>
      <c r="AV77" s="218"/>
      <c r="AW77" s="217" t="e">
        <f>AZ41</f>
        <v>#REF!</v>
      </c>
      <c r="AX77" s="218" t="e">
        <f t="shared" si="141"/>
        <v>#REF!</v>
      </c>
      <c r="AY77" s="222">
        <f t="shared" si="154"/>
        <v>1</v>
      </c>
      <c r="AZ77" s="220" t="e">
        <f t="shared" si="142"/>
        <v>#REF!</v>
      </c>
      <c r="BA77" s="219" t="e">
        <f t="shared" si="126"/>
        <v>#REF!</v>
      </c>
      <c r="BB77" s="144"/>
      <c r="BC77" s="144">
        <v>960</v>
      </c>
      <c r="BD77" s="207" t="e">
        <f t="shared" ref="BD77:BD81" si="158">BC77*AU77*60</f>
        <v>#REF!</v>
      </c>
      <c r="BE77" s="144"/>
      <c r="BF77" s="217" t="e">
        <f>SUMIF($B$16:$B$66,$B77,BL$16:BL$66)/COUNTIF($B$16:$B$66,$B77)</f>
        <v>#REF!</v>
      </c>
      <c r="BG77" s="218" t="e">
        <f t="shared" si="127"/>
        <v>#REF!</v>
      </c>
      <c r="BH77" s="218"/>
      <c r="BI77" s="217" t="e">
        <f>BL41</f>
        <v>#REF!</v>
      </c>
      <c r="BJ77" s="218" t="e">
        <f t="shared" si="143"/>
        <v>#REF!</v>
      </c>
      <c r="BK77" s="222">
        <f t="shared" si="155"/>
        <v>1</v>
      </c>
      <c r="BL77" s="220" t="e">
        <f t="shared" si="144"/>
        <v>#REF!</v>
      </c>
      <c r="BM77" s="219" t="e">
        <f t="shared" si="128"/>
        <v>#REF!</v>
      </c>
      <c r="BN77" s="144"/>
      <c r="BO77" s="144">
        <v>100</v>
      </c>
      <c r="BP77" s="207" t="e">
        <f t="shared" ref="BP77:BP82" si="159">BO77*BG77*60</f>
        <v>#REF!</v>
      </c>
      <c r="BR77" s="217" t="e">
        <f>SUMIF($B$16:$B$66,$B77,BX$16:BX$66)/COUNTIF($B$16:$B$66,$B77)</f>
        <v>#REF!</v>
      </c>
      <c r="BS77" s="218" t="e">
        <f t="shared" si="130"/>
        <v>#REF!</v>
      </c>
      <c r="BT77" s="218"/>
      <c r="BU77" s="217" t="e">
        <f>BX41</f>
        <v>#REF!</v>
      </c>
      <c r="BV77" s="218" t="e">
        <f t="shared" si="145"/>
        <v>#REF!</v>
      </c>
      <c r="BW77" s="222">
        <f t="shared" si="156"/>
        <v>1</v>
      </c>
      <c r="BX77" s="220" t="e">
        <f t="shared" si="146"/>
        <v>#REF!</v>
      </c>
      <c r="BY77" s="219" t="e">
        <f t="shared" si="131"/>
        <v>#REF!</v>
      </c>
      <c r="BZ77" s="144"/>
      <c r="CA77" s="144">
        <v>100</v>
      </c>
      <c r="CB77" s="207" t="e">
        <f t="shared" ref="CB77:CB82" si="160">CA77*BS77*60</f>
        <v>#REF!</v>
      </c>
      <c r="CD77" s="216" t="s">
        <v>17</v>
      </c>
      <c r="CE77" s="217">
        <f>SUMIF($CD$16:$CD$66,$B77,CN$16:CN$66)/COUNTIF($CD$16:$CD$66,$B77)</f>
        <v>75908.163239999994</v>
      </c>
      <c r="CF77" s="348">
        <f t="shared" si="147"/>
        <v>358.90384510638296</v>
      </c>
      <c r="CG77" s="348">
        <f t="shared" si="148"/>
        <v>6325.6802699999998</v>
      </c>
      <c r="CH77" s="217">
        <f>CN41</f>
        <v>80036.165256000008</v>
      </c>
      <c r="CI77" s="348">
        <f t="shared" si="149"/>
        <v>378.42158513475181</v>
      </c>
      <c r="CJ77" s="222">
        <f t="shared" si="157"/>
        <v>1</v>
      </c>
      <c r="CK77" s="220">
        <f t="shared" si="150"/>
        <v>378.42158513475181</v>
      </c>
      <c r="CL77" s="219">
        <f t="shared" si="133"/>
        <v>5.4381529466711598E-2</v>
      </c>
      <c r="CM77" s="144"/>
      <c r="CN77" s="144">
        <v>100</v>
      </c>
      <c r="CO77" s="207">
        <f t="shared" ref="CO77:CO82" si="161">CN77*CF77*60</f>
        <v>2153423.0706382976</v>
      </c>
    </row>
    <row r="78" spans="1:93">
      <c r="A78" s="144"/>
      <c r="B78" s="216" t="s">
        <v>18</v>
      </c>
      <c r="C78" s="216"/>
      <c r="D78" s="217">
        <f>SUMIF($B$16:$B$66,$B78,I$16:I$66)/COUNTIF($B$16:$B$66,$B78)</f>
        <v>64835.730036000001</v>
      </c>
      <c r="E78" s="218">
        <f t="shared" si="116"/>
        <v>0.69435855460240969</v>
      </c>
      <c r="F78" s="217">
        <f>I46</f>
        <v>69877.125240000008</v>
      </c>
      <c r="G78" s="218">
        <f t="shared" si="117"/>
        <v>0.74834940016064266</v>
      </c>
      <c r="H78" s="219">
        <f t="shared" si="118"/>
        <v>7.7756434626413018E-2</v>
      </c>
      <c r="I78" s="144"/>
      <c r="J78" s="144"/>
      <c r="K78" s="217">
        <f>SUMIF($B$16:$B$66,$B78,P$16:P$66)/COUNTIF($B$16:$B$66,$B78)</f>
        <v>66462.466400000005</v>
      </c>
      <c r="L78" s="218">
        <f t="shared" si="119"/>
        <v>0.71178009531459174</v>
      </c>
      <c r="M78" s="217">
        <f>P46</f>
        <v>71972.462</v>
      </c>
      <c r="N78" s="218">
        <f t="shared" si="135"/>
        <v>0.77078941900937081</v>
      </c>
      <c r="O78" s="222">
        <f t="shared" si="151"/>
        <v>0.8</v>
      </c>
      <c r="P78" s="220">
        <f t="shared" si="136"/>
        <v>0.96348677376171343</v>
      </c>
      <c r="Q78" s="219">
        <f t="shared" si="120"/>
        <v>0.3536298361025012</v>
      </c>
      <c r="R78" s="144"/>
      <c r="S78" s="144"/>
      <c r="T78" s="144"/>
      <c r="U78" s="144"/>
      <c r="V78" s="217">
        <f>SUMIF($B$16:$B$66,$B78,AB$16:AB$66)/COUNTIF($B$16:$B$66,$B78)</f>
        <v>68347.399600000004</v>
      </c>
      <c r="W78" s="218">
        <f t="shared" si="121"/>
        <v>0.73196679625167338</v>
      </c>
      <c r="X78" s="218"/>
      <c r="Y78" s="217">
        <f>AB46</f>
        <v>73848.30799999999</v>
      </c>
      <c r="Z78" s="218">
        <f t="shared" si="137"/>
        <v>0.7908788005354751</v>
      </c>
      <c r="AA78" s="222">
        <f t="shared" si="152"/>
        <v>1</v>
      </c>
      <c r="AB78" s="220">
        <f t="shared" si="138"/>
        <v>0.7908788005354751</v>
      </c>
      <c r="AC78" s="219">
        <f t="shared" si="122"/>
        <v>8.0484530972557922E-2</v>
      </c>
      <c r="AD78" s="144"/>
      <c r="AE78" s="144"/>
      <c r="AF78" s="144"/>
      <c r="AG78" s="144"/>
      <c r="AH78" s="217">
        <f>SUMIF($B$16:$B$66,$B78,AN$16:AN$66)/COUNTIF($B$16:$B$66,$B78)</f>
        <v>69167.601600000009</v>
      </c>
      <c r="AI78" s="218">
        <f t="shared" si="123"/>
        <v>0.74075075341365471</v>
      </c>
      <c r="AJ78" s="218"/>
      <c r="AK78" s="217">
        <f>AN46</f>
        <v>74449.29800000001</v>
      </c>
      <c r="AL78" s="218">
        <f t="shared" si="139"/>
        <v>0.79731510575635889</v>
      </c>
      <c r="AM78" s="222">
        <f t="shared" si="153"/>
        <v>1</v>
      </c>
      <c r="AN78" s="220">
        <f t="shared" si="140"/>
        <v>0.79731510575635889</v>
      </c>
      <c r="AO78" s="219">
        <f t="shared" si="124"/>
        <v>7.6360843484849061E-2</v>
      </c>
      <c r="AP78" s="144"/>
      <c r="AQ78" s="144"/>
      <c r="AR78" s="144"/>
      <c r="AS78" s="144"/>
      <c r="AT78" s="217" t="e">
        <f>SUMIF($B$16:$B$66,$B78,AZ$16:AZ$66)/COUNTIF($B$16:$B$66,$B78)</f>
        <v>#REF!</v>
      </c>
      <c r="AU78" s="218" t="e">
        <f t="shared" si="125"/>
        <v>#REF!</v>
      </c>
      <c r="AV78" s="218"/>
      <c r="AW78" s="217">
        <f>AZ46</f>
        <v>76364.550799999997</v>
      </c>
      <c r="AX78" s="218">
        <f t="shared" si="141"/>
        <v>0.81782651459170008</v>
      </c>
      <c r="AY78" s="222">
        <f t="shared" si="154"/>
        <v>1</v>
      </c>
      <c r="AZ78" s="220">
        <f t="shared" si="142"/>
        <v>0.81782651459170008</v>
      </c>
      <c r="BA78" s="219" t="e">
        <f t="shared" si="126"/>
        <v>#REF!</v>
      </c>
      <c r="BB78" s="144"/>
      <c r="BC78" s="144"/>
      <c r="BD78" s="207" t="e">
        <f t="shared" si="158"/>
        <v>#REF!</v>
      </c>
      <c r="BE78" s="144"/>
      <c r="BF78" s="217" t="e">
        <f>SUMIF($B$16:$B$66,$B78,BL$16:BL$66)/COUNTIF($B$16:$B$66,$B78)</f>
        <v>#REF!</v>
      </c>
      <c r="BG78" s="218" t="e">
        <f t="shared" si="127"/>
        <v>#REF!</v>
      </c>
      <c r="BH78" s="218"/>
      <c r="BI78" s="217">
        <f>BL46</f>
        <v>79460.834799999997</v>
      </c>
      <c r="BJ78" s="218">
        <f t="shared" si="143"/>
        <v>0.85098618259705483</v>
      </c>
      <c r="BK78" s="222">
        <f t="shared" si="155"/>
        <v>1</v>
      </c>
      <c r="BL78" s="220">
        <f t="shared" si="144"/>
        <v>0.85098618259705483</v>
      </c>
      <c r="BM78" s="219" t="e">
        <f t="shared" si="128"/>
        <v>#REF!</v>
      </c>
      <c r="BN78" s="144"/>
      <c r="BO78" s="144">
        <v>100</v>
      </c>
      <c r="BP78" s="207" t="e">
        <f t="shared" si="159"/>
        <v>#REF!</v>
      </c>
      <c r="BR78" s="217" t="e">
        <f>SUMIF($B$16:$B$66,$B78,BX$16:BX$66)/COUNTIF($B$16:$B$66,$B78)</f>
        <v>#REF!</v>
      </c>
      <c r="BS78" s="218" t="e">
        <f t="shared" si="130"/>
        <v>#REF!</v>
      </c>
      <c r="BT78" s="218"/>
      <c r="BU78" s="217">
        <f>BX46</f>
        <v>82801.179804999992</v>
      </c>
      <c r="BV78" s="218">
        <f t="shared" si="145"/>
        <v>0.88675962307898248</v>
      </c>
      <c r="BW78" s="222">
        <f t="shared" si="156"/>
        <v>1</v>
      </c>
      <c r="BX78" s="220">
        <f t="shared" si="146"/>
        <v>0.88675962307898248</v>
      </c>
      <c r="BY78" s="219" t="e">
        <f t="shared" si="131"/>
        <v>#REF!</v>
      </c>
      <c r="BZ78" s="144"/>
      <c r="CA78" s="144">
        <v>100</v>
      </c>
      <c r="CB78" s="207" t="e">
        <f t="shared" si="160"/>
        <v>#REF!</v>
      </c>
      <c r="CD78" s="216" t="s">
        <v>18</v>
      </c>
      <c r="CE78" s="217">
        <f>SUMIF($CD$16:$CD$66,$B78,CN$16:CN$66)/COUNTIF($CD$16:$CD$66,$B78)</f>
        <v>85686.599851200008</v>
      </c>
      <c r="CF78" s="348">
        <f t="shared" si="147"/>
        <v>405.13758794893619</v>
      </c>
      <c r="CG78" s="348">
        <f t="shared" si="148"/>
        <v>7140.5499876000003</v>
      </c>
      <c r="CH78" s="217">
        <f>CN46</f>
        <v>90228.991799999989</v>
      </c>
      <c r="CI78" s="348">
        <f t="shared" si="149"/>
        <v>426.61461843971625</v>
      </c>
      <c r="CJ78" s="222">
        <f t="shared" si="157"/>
        <v>1</v>
      </c>
      <c r="CK78" s="220">
        <f t="shared" si="150"/>
        <v>426.61461843971625</v>
      </c>
      <c r="CL78" s="219">
        <f t="shared" si="133"/>
        <v>5.3011695605708731E-2</v>
      </c>
      <c r="CM78" s="144"/>
      <c r="CN78" s="144">
        <v>100</v>
      </c>
      <c r="CO78" s="207">
        <f t="shared" si="161"/>
        <v>2430825.5276936172</v>
      </c>
    </row>
    <row r="79" spans="1:93">
      <c r="A79" s="144"/>
      <c r="B79" s="216" t="s">
        <v>19</v>
      </c>
      <c r="C79" s="216"/>
      <c r="D79" s="217">
        <f>SUMIF($B$16:$B$66,$B79,I$16:I$66)/COUNTIF($B$16:$B$66,$B79)</f>
        <v>75466.899136000007</v>
      </c>
      <c r="E79" s="218">
        <f t="shared" si="116"/>
        <v>0.80821310989022765</v>
      </c>
      <c r="F79" s="217">
        <f>I51</f>
        <v>82353.974399999992</v>
      </c>
      <c r="G79" s="218">
        <f t="shared" si="117"/>
        <v>0.88197027469879508</v>
      </c>
      <c r="H79" s="219">
        <f t="shared" si="118"/>
        <v>9.1259550118637955E-2</v>
      </c>
      <c r="I79" s="144"/>
      <c r="J79" s="144"/>
      <c r="K79" s="217">
        <f>SUMIF($B$16:$B$66,$B79,P$16:P$66)/COUNTIF($B$16:$B$66,$B79)</f>
        <v>77307.561600000001</v>
      </c>
      <c r="L79" s="218">
        <f t="shared" si="119"/>
        <v>0.82792569317269082</v>
      </c>
      <c r="M79" s="217">
        <f>P51</f>
        <v>84826.032000000007</v>
      </c>
      <c r="N79" s="218">
        <f t="shared" si="135"/>
        <v>0.90844478714859445</v>
      </c>
      <c r="O79" s="222">
        <f t="shared" si="151"/>
        <v>0.8</v>
      </c>
      <c r="P79" s="220">
        <f t="shared" si="136"/>
        <v>1.135555983935743</v>
      </c>
      <c r="Q79" s="219">
        <f t="shared" si="120"/>
        <v>0.37156751300250557</v>
      </c>
      <c r="R79" s="144"/>
      <c r="S79" s="144"/>
      <c r="T79" s="144"/>
      <c r="U79" s="144"/>
      <c r="V79" s="217">
        <f>SUMIF($B$16:$B$66,$B79,AB$16:AB$66)/COUNTIF($B$16:$B$66,$B79)</f>
        <v>79762.478399999993</v>
      </c>
      <c r="W79" s="218">
        <f t="shared" si="121"/>
        <v>0.85421663614457821</v>
      </c>
      <c r="X79" s="218"/>
      <c r="Y79" s="217">
        <f>AB51</f>
        <v>87046.667999999991</v>
      </c>
      <c r="Z79" s="218">
        <f t="shared" si="137"/>
        <v>0.93222669879518061</v>
      </c>
      <c r="AA79" s="222">
        <f t="shared" si="152"/>
        <v>1</v>
      </c>
      <c r="AB79" s="220">
        <f t="shared" si="138"/>
        <v>0.93222669879518061</v>
      </c>
      <c r="AC79" s="219">
        <f t="shared" si="122"/>
        <v>9.132351133161376E-2</v>
      </c>
      <c r="AD79" s="144"/>
      <c r="AE79" s="144"/>
      <c r="AF79" s="144"/>
      <c r="AG79" s="144"/>
      <c r="AH79" s="217">
        <f>SUMIF($B$16:$B$66,$B79,AN$16:AN$66)/COUNTIF($B$16:$B$66,$B79)</f>
        <v>80356.462800000008</v>
      </c>
      <c r="AI79" s="218">
        <f t="shared" si="123"/>
        <v>0.8605779148594378</v>
      </c>
      <c r="AJ79" s="218"/>
      <c r="AK79" s="217">
        <f>AN51</f>
        <v>87737.536000000007</v>
      </c>
      <c r="AL79" s="218">
        <f t="shared" si="139"/>
        <v>0.9396255528781795</v>
      </c>
      <c r="AM79" s="222">
        <f t="shared" si="153"/>
        <v>1</v>
      </c>
      <c r="AN79" s="220">
        <f t="shared" si="140"/>
        <v>0.9396255528781795</v>
      </c>
      <c r="AO79" s="219">
        <f t="shared" si="124"/>
        <v>9.1854132733179661E-2</v>
      </c>
      <c r="AP79" s="144"/>
      <c r="AQ79" s="144"/>
      <c r="AR79" s="144"/>
      <c r="AS79" s="144"/>
      <c r="AT79" s="217" t="e">
        <f>SUMIF($B$16:$B$66,$B79,AZ$16:AZ$66)/COUNTIF($B$16:$B$66,$B79)</f>
        <v>#REF!</v>
      </c>
      <c r="AU79" s="218" t="e">
        <f t="shared" si="125"/>
        <v>#REF!</v>
      </c>
      <c r="AV79" s="218"/>
      <c r="AW79" s="217">
        <f>AZ51</f>
        <v>90054.641700000007</v>
      </c>
      <c r="AX79" s="218">
        <f t="shared" si="141"/>
        <v>0.96444060722891578</v>
      </c>
      <c r="AY79" s="222">
        <f t="shared" si="154"/>
        <v>1</v>
      </c>
      <c r="AZ79" s="220">
        <f t="shared" si="142"/>
        <v>0.96444060722891578</v>
      </c>
      <c r="BA79" s="219" t="e">
        <f t="shared" si="126"/>
        <v>#REF!</v>
      </c>
      <c r="BB79" s="144"/>
      <c r="BC79" s="144"/>
      <c r="BD79" s="207" t="e">
        <f t="shared" si="158"/>
        <v>#REF!</v>
      </c>
      <c r="BE79" s="144"/>
      <c r="BF79" s="217" t="e">
        <f>SUMIF($B$16:$B$66,$B79,BL$16:BL$66)/COUNTIF($B$16:$B$66,$B79)</f>
        <v>#REF!</v>
      </c>
      <c r="BG79" s="218" t="e">
        <f t="shared" si="127"/>
        <v>#REF!</v>
      </c>
      <c r="BH79" s="218"/>
      <c r="BI79" s="217">
        <f>BL51</f>
        <v>93337.178199999995</v>
      </c>
      <c r="BJ79" s="218">
        <f t="shared" si="143"/>
        <v>0.99959494725568931</v>
      </c>
      <c r="BK79" s="222">
        <f t="shared" si="155"/>
        <v>1</v>
      </c>
      <c r="BL79" s="220">
        <f t="shared" si="144"/>
        <v>0.99959494725568931</v>
      </c>
      <c r="BM79" s="219" t="e">
        <f t="shared" si="128"/>
        <v>#REF!</v>
      </c>
      <c r="BN79" s="144"/>
      <c r="BO79" s="144">
        <v>100</v>
      </c>
      <c r="BP79" s="207" t="e">
        <f t="shared" si="159"/>
        <v>#REF!</v>
      </c>
      <c r="BR79" s="217" t="e">
        <f>SUMIF($B$16:$B$66,$B79,BX$16:BX$66)/COUNTIF($B$16:$B$66,$B79)</f>
        <v>#REF!</v>
      </c>
      <c r="BS79" s="218" t="e">
        <f t="shared" si="130"/>
        <v>#REF!</v>
      </c>
      <c r="BT79" s="218"/>
      <c r="BU79" s="217">
        <f>BX51</f>
        <v>97232.748605000015</v>
      </c>
      <c r="BV79" s="218">
        <f t="shared" si="145"/>
        <v>1.0413145767603751</v>
      </c>
      <c r="BW79" s="222">
        <f t="shared" si="156"/>
        <v>1</v>
      </c>
      <c r="BX79" s="220">
        <f t="shared" si="146"/>
        <v>1.0413145767603751</v>
      </c>
      <c r="BY79" s="219" t="e">
        <f t="shared" si="131"/>
        <v>#REF!</v>
      </c>
      <c r="BZ79" s="144"/>
      <c r="CA79" s="144">
        <v>100</v>
      </c>
      <c r="CB79" s="207" t="e">
        <f t="shared" si="160"/>
        <v>#REF!</v>
      </c>
      <c r="CD79" s="216" t="s">
        <v>19</v>
      </c>
      <c r="CE79" s="217">
        <f>SUMIF($CD$16:$CD$66,$B79,CN$16:CN$66)/COUNTIF($CD$16:$CD$66,$B79)</f>
        <v>99549.585825600021</v>
      </c>
      <c r="CF79" s="348">
        <f t="shared" si="147"/>
        <v>470.68362092482278</v>
      </c>
      <c r="CG79" s="348">
        <f t="shared" si="148"/>
        <v>8295.7988188000018</v>
      </c>
      <c r="CH79" s="217">
        <f>CN51</f>
        <v>105849.42561600001</v>
      </c>
      <c r="CI79" s="348">
        <f t="shared" si="149"/>
        <v>500.47009747517734</v>
      </c>
      <c r="CJ79" s="222">
        <f t="shared" si="157"/>
        <v>1</v>
      </c>
      <c r="CK79" s="220">
        <f t="shared" si="150"/>
        <v>500.47009747517734</v>
      </c>
      <c r="CL79" s="219">
        <f t="shared" si="133"/>
        <v>6.3283435467392346E-2</v>
      </c>
      <c r="CM79" s="144"/>
      <c r="CN79" s="144">
        <v>100</v>
      </c>
      <c r="CO79" s="207">
        <f t="shared" si="161"/>
        <v>2824101.7255489365</v>
      </c>
    </row>
    <row r="80" spans="1:93">
      <c r="A80" s="144"/>
      <c r="B80" s="216" t="s">
        <v>20</v>
      </c>
      <c r="C80" s="216"/>
      <c r="D80" s="217">
        <f>SUMIF($B$16:$B$66,$B80,I$16:I$66)/COUNTIF($B$16:$B$66,$B80)</f>
        <v>88330.548803999991</v>
      </c>
      <c r="E80" s="218">
        <f t="shared" si="116"/>
        <v>0.94597642628112444</v>
      </c>
      <c r="F80" s="217">
        <f>I56</f>
        <v>96438.812239999999</v>
      </c>
      <c r="G80" s="218">
        <f t="shared" si="117"/>
        <v>1.0328119115394914</v>
      </c>
      <c r="H80" s="219">
        <f t="shared" si="118"/>
        <v>9.1794555176960779E-2</v>
      </c>
      <c r="I80" s="144"/>
      <c r="J80" s="144"/>
      <c r="K80" s="217">
        <f>SUMIF($B$16:$B$66,$B80,P$16:P$66)/COUNTIF($B$16:$B$66,$B80)</f>
        <v>90439.421999999991</v>
      </c>
      <c r="L80" s="218">
        <f t="shared" si="119"/>
        <v>0.96856141365461834</v>
      </c>
      <c r="M80" s="217">
        <f>P56</f>
        <v>99330.826000000001</v>
      </c>
      <c r="N80" s="218">
        <f t="shared" si="135"/>
        <v>1.0637839464524765</v>
      </c>
      <c r="O80" s="222">
        <f t="shared" si="151"/>
        <v>0.8</v>
      </c>
      <c r="P80" s="220">
        <f t="shared" si="136"/>
        <v>1.3297299330655956</v>
      </c>
      <c r="Q80" s="219">
        <f t="shared" si="120"/>
        <v>0.37289170755646817</v>
      </c>
      <c r="R80" s="144"/>
      <c r="S80" s="144"/>
      <c r="T80" s="144"/>
      <c r="U80" s="144"/>
      <c r="V80" s="217">
        <f>SUMIF($B$16:$B$66,$B80,AB$16:AB$66)/COUNTIF($B$16:$B$66,$B80)</f>
        <v>92872.546000000002</v>
      </c>
      <c r="W80" s="218">
        <f t="shared" si="121"/>
        <v>0.99461896653279791</v>
      </c>
      <c r="X80" s="218"/>
      <c r="Y80" s="217">
        <f>AB56</f>
        <v>102127.936</v>
      </c>
      <c r="Z80" s="218">
        <f t="shared" si="137"/>
        <v>1.0937396091030791</v>
      </c>
      <c r="AA80" s="222">
        <f t="shared" si="152"/>
        <v>1</v>
      </c>
      <c r="AB80" s="220">
        <f t="shared" si="138"/>
        <v>1.0937396091030791</v>
      </c>
      <c r="AC80" s="219">
        <f t="shared" si="122"/>
        <v>9.9656899682711408E-2</v>
      </c>
      <c r="AD80" s="144"/>
      <c r="AE80" s="144"/>
      <c r="AF80" s="144"/>
      <c r="AG80" s="144"/>
      <c r="AH80" s="217">
        <f>SUMIF($B$16:$B$66,$B80,AN$16:AN$66)/COUNTIF($B$16:$B$66,$B80)</f>
        <v>94065.766000000003</v>
      </c>
      <c r="AI80" s="218">
        <f t="shared" si="123"/>
        <v>1.0073977617135208</v>
      </c>
      <c r="AJ80" s="218"/>
      <c r="AK80" s="217">
        <f>AN56</f>
        <v>102736.15399999999</v>
      </c>
      <c r="AL80" s="218">
        <f t="shared" si="139"/>
        <v>1.1002533226238287</v>
      </c>
      <c r="AM80" s="222">
        <f t="shared" si="153"/>
        <v>1</v>
      </c>
      <c r="AN80" s="220">
        <f t="shared" si="140"/>
        <v>1.1002533226238287</v>
      </c>
      <c r="AO80" s="219">
        <f t="shared" si="124"/>
        <v>9.217368197480047E-2</v>
      </c>
      <c r="AP80" s="144"/>
      <c r="AQ80" s="144"/>
      <c r="AR80" s="144"/>
      <c r="AS80" s="144"/>
      <c r="AT80" s="217" t="e">
        <f>SUMIF($B$16:$B$66,$B80,AZ$16:AZ$66)/COUNTIF($B$16:$B$66,$B80)</f>
        <v>#REF!</v>
      </c>
      <c r="AU80" s="218" t="e">
        <f t="shared" si="125"/>
        <v>#REF!</v>
      </c>
      <c r="AV80" s="218"/>
      <c r="AW80" s="217">
        <f>AZ56</f>
        <v>105505.67730000001</v>
      </c>
      <c r="AX80" s="218">
        <f t="shared" si="141"/>
        <v>1.1299135453815261</v>
      </c>
      <c r="AY80" s="222">
        <f t="shared" si="154"/>
        <v>1</v>
      </c>
      <c r="AZ80" s="220">
        <f t="shared" si="142"/>
        <v>1.1299135453815261</v>
      </c>
      <c r="BA80" s="219" t="e">
        <f t="shared" si="126"/>
        <v>#REF!</v>
      </c>
      <c r="BB80" s="144"/>
      <c r="BC80" s="144"/>
      <c r="BD80" s="207" t="e">
        <f t="shared" si="158"/>
        <v>#REF!</v>
      </c>
      <c r="BE80" s="144"/>
      <c r="BF80" s="217" t="e">
        <f>SUMIF($B$16:$B$66,$B80,BL$16:BL$66)/COUNTIF($B$16:$B$66,$B80)</f>
        <v>#REF!</v>
      </c>
      <c r="BG80" s="218" t="e">
        <f t="shared" si="127"/>
        <v>#REF!</v>
      </c>
      <c r="BH80" s="218"/>
      <c r="BI80" s="217">
        <f>BL56</f>
        <v>108998.42379999999</v>
      </c>
      <c r="BJ80" s="218">
        <f t="shared" si="143"/>
        <v>1.1673191303882193</v>
      </c>
      <c r="BK80" s="222">
        <f t="shared" si="155"/>
        <v>1</v>
      </c>
      <c r="BL80" s="220">
        <f t="shared" si="144"/>
        <v>1.1673191303882193</v>
      </c>
      <c r="BM80" s="219" t="e">
        <f t="shared" si="128"/>
        <v>#REF!</v>
      </c>
      <c r="BN80" s="144"/>
      <c r="BO80" s="144">
        <v>100</v>
      </c>
      <c r="BP80" s="207" t="e">
        <f t="shared" si="159"/>
        <v>#REF!</v>
      </c>
      <c r="BR80" s="217" t="e">
        <f>SUMIF($B$16:$B$66,$B80,BX$16:BX$66)/COUNTIF($B$16:$B$66,$B80)</f>
        <v>#REF!</v>
      </c>
      <c r="BS80" s="218" t="e">
        <f t="shared" si="130"/>
        <v>#REF!</v>
      </c>
      <c r="BT80" s="218"/>
      <c r="BU80" s="217">
        <f>BX56</f>
        <v>113519.91550500001</v>
      </c>
      <c r="BV80" s="218">
        <f t="shared" si="145"/>
        <v>1.215742066987952</v>
      </c>
      <c r="BW80" s="222">
        <f t="shared" si="156"/>
        <v>1</v>
      </c>
      <c r="BX80" s="220">
        <f t="shared" si="146"/>
        <v>1.215742066987952</v>
      </c>
      <c r="BY80" s="219" t="e">
        <f t="shared" si="131"/>
        <v>#REF!</v>
      </c>
      <c r="BZ80" s="144"/>
      <c r="CA80" s="144">
        <v>100</v>
      </c>
      <c r="CB80" s="207" t="e">
        <f t="shared" si="160"/>
        <v>#REF!</v>
      </c>
      <c r="CD80" s="216" t="s">
        <v>20</v>
      </c>
      <c r="CE80" s="217">
        <f>SUMIF($CD$16:$CD$66,$B80,CN$16:CN$66)/COUNTIF($CD$16:$CD$66,$B80)</f>
        <v>116101.86708</v>
      </c>
      <c r="CF80" s="348">
        <f t="shared" si="147"/>
        <v>548.94499801418442</v>
      </c>
      <c r="CG80" s="348">
        <f t="shared" si="148"/>
        <v>9675.1555900000003</v>
      </c>
      <c r="CH80" s="217">
        <f>CN56</f>
        <v>123478.21984800001</v>
      </c>
      <c r="CI80" s="348">
        <f t="shared" si="149"/>
        <v>583.82137043971636</v>
      </c>
      <c r="CJ80" s="222">
        <f t="shared" si="157"/>
        <v>1</v>
      </c>
      <c r="CK80" s="220">
        <f t="shared" si="150"/>
        <v>583.82137043971636</v>
      </c>
      <c r="CL80" s="219">
        <f t="shared" si="133"/>
        <v>6.3533455176197462E-2</v>
      </c>
      <c r="CM80" s="144"/>
      <c r="CN80" s="144">
        <v>100</v>
      </c>
      <c r="CO80" s="207">
        <f t="shared" si="161"/>
        <v>3293669.9880851065</v>
      </c>
    </row>
    <row r="81" spans="1:93">
      <c r="A81" s="144"/>
      <c r="B81" s="216" t="s">
        <v>21</v>
      </c>
      <c r="C81" s="216"/>
      <c r="D81" s="217">
        <f>SUMIF($B$16:$B$66,$B81,I$16:I$66)/COUNTIF($B$16:$B$66,$B81)</f>
        <v>103851.146488</v>
      </c>
      <c r="E81" s="218">
        <f t="shared" si="116"/>
        <v>1.1121943398982597</v>
      </c>
      <c r="F81" s="217">
        <f>I61</f>
        <v>114557.90923999999</v>
      </c>
      <c r="G81" s="218">
        <f t="shared" si="117"/>
        <v>1.2268584657563586</v>
      </c>
      <c r="H81" s="219">
        <f t="shared" si="118"/>
        <v>0.10309720319974658</v>
      </c>
      <c r="I81" s="144"/>
      <c r="J81" s="144"/>
      <c r="K81" s="217">
        <f>SUMIF($B$16:$B$66,$B81,P$16:P$66)/COUNTIF($B$16:$B$66,$B81)</f>
        <v>106234.8456</v>
      </c>
      <c r="L81" s="218">
        <f t="shared" si="119"/>
        <v>1.1377225767068273</v>
      </c>
      <c r="M81" s="217">
        <f>P61</f>
        <v>117450.56599999999</v>
      </c>
      <c r="N81" s="218">
        <f t="shared" si="135"/>
        <v>1.2578373868808568</v>
      </c>
      <c r="O81" s="222">
        <f t="shared" si="151"/>
        <v>0.8</v>
      </c>
      <c r="P81" s="220">
        <f t="shared" si="136"/>
        <v>1.5722967336010709</v>
      </c>
      <c r="Q81" s="219">
        <f t="shared" si="120"/>
        <v>0.38196847438162984</v>
      </c>
      <c r="R81" s="144"/>
      <c r="S81" s="144"/>
      <c r="T81" s="144"/>
      <c r="U81" s="144"/>
      <c r="V81" s="217">
        <f>SUMIF($B$16:$B$66,$B81,AB$16:AB$66)/COUNTIF($B$16:$B$66,$B81)</f>
        <v>109275.2188</v>
      </c>
      <c r="W81" s="218">
        <f t="shared" si="121"/>
        <v>1.1702834677376173</v>
      </c>
      <c r="X81" s="218"/>
      <c r="Y81" s="217">
        <f>AB61</f>
        <v>120247.67600000001</v>
      </c>
      <c r="Z81" s="218">
        <f t="shared" si="137"/>
        <v>1.2877930495314593</v>
      </c>
      <c r="AA81" s="222">
        <f t="shared" si="152"/>
        <v>1</v>
      </c>
      <c r="AB81" s="220">
        <f t="shared" si="138"/>
        <v>1.2877930495314593</v>
      </c>
      <c r="AC81" s="219">
        <f t="shared" si="122"/>
        <v>0.10041121235439698</v>
      </c>
      <c r="AD81" s="144"/>
      <c r="AE81" s="144"/>
      <c r="AF81" s="144"/>
      <c r="AG81" s="144"/>
      <c r="AH81" s="217">
        <f>SUMIF($B$16:$B$66,$B81,AN$16:AN$66)/COUNTIF($B$16:$B$66,$B81)</f>
        <v>110462.92760000001</v>
      </c>
      <c r="AI81" s="218">
        <f t="shared" si="123"/>
        <v>1.183003240696118</v>
      </c>
      <c r="AJ81" s="218"/>
      <c r="AK81" s="217">
        <f>AN61</f>
        <v>120855.894</v>
      </c>
      <c r="AL81" s="218">
        <f t="shared" si="139"/>
        <v>1.2943067630522089</v>
      </c>
      <c r="AM81" s="222">
        <f t="shared" si="153"/>
        <v>1</v>
      </c>
      <c r="AN81" s="220">
        <f t="shared" si="140"/>
        <v>1.2943067630522089</v>
      </c>
      <c r="AO81" s="219">
        <f t="shared" si="124"/>
        <v>9.4085559977499678E-2</v>
      </c>
      <c r="AP81" s="144"/>
      <c r="AQ81" s="144"/>
      <c r="AR81" s="144"/>
      <c r="AS81" s="144"/>
      <c r="AT81" s="217" t="e">
        <f>SUMIF($B$16:$B$66,$B81,AZ$16:AZ$66)/COUNTIF($B$16:$B$66,$B81)</f>
        <v>#REF!</v>
      </c>
      <c r="AU81" s="218" t="e">
        <f t="shared" si="125"/>
        <v>#REF!</v>
      </c>
      <c r="AV81" s="218"/>
      <c r="AW81" s="217">
        <f>AZ61</f>
        <v>124173.74920000001</v>
      </c>
      <c r="AX81" s="218">
        <f t="shared" si="141"/>
        <v>1.3298393488621152</v>
      </c>
      <c r="AY81" s="222">
        <f t="shared" si="154"/>
        <v>1</v>
      </c>
      <c r="AZ81" s="220">
        <f t="shared" si="142"/>
        <v>1.3298393488621152</v>
      </c>
      <c r="BA81" s="219" t="e">
        <f t="shared" si="126"/>
        <v>#REF!</v>
      </c>
      <c r="BB81" s="144"/>
      <c r="BC81" s="144">
        <v>160</v>
      </c>
      <c r="BD81" s="207" t="e">
        <f t="shared" si="158"/>
        <v>#REF!</v>
      </c>
      <c r="BE81" s="144"/>
      <c r="BF81" s="217" t="e">
        <f>SUMIF($B$16:$B$66,$B81,BL$16:BL$66)/COUNTIF($B$16:$B$66,$B81)</f>
        <v>#REF!</v>
      </c>
      <c r="BG81" s="218" t="e">
        <f t="shared" si="127"/>
        <v>#REF!</v>
      </c>
      <c r="BH81" s="218"/>
      <c r="BI81" s="217">
        <f>BL61</f>
        <v>127920.47319999999</v>
      </c>
      <c r="BJ81" s="218">
        <f t="shared" si="143"/>
        <v>1.3699649070950468</v>
      </c>
      <c r="BK81" s="222">
        <f t="shared" si="155"/>
        <v>1</v>
      </c>
      <c r="BL81" s="220">
        <f t="shared" si="144"/>
        <v>1.3699649070950468</v>
      </c>
      <c r="BM81" s="219" t="e">
        <f t="shared" si="128"/>
        <v>#REF!</v>
      </c>
      <c r="BN81" s="144"/>
      <c r="BO81" s="144">
        <v>100</v>
      </c>
      <c r="BP81" s="207" t="e">
        <f t="shared" si="159"/>
        <v>#REF!</v>
      </c>
      <c r="BR81" s="217" t="e">
        <f>SUMIF($B$16:$B$66,$B81,BX$16:BX$66)/COUNTIF($B$16:$B$66,$B81)</f>
        <v>#REF!</v>
      </c>
      <c r="BS81" s="218" t="e">
        <f t="shared" si="130"/>
        <v>#REF!</v>
      </c>
      <c r="BT81" s="218"/>
      <c r="BU81" s="217">
        <f>BX61</f>
        <v>133196.744905</v>
      </c>
      <c r="BV81" s="218">
        <f t="shared" si="145"/>
        <v>1.4264711636412315</v>
      </c>
      <c r="BW81" s="222">
        <f t="shared" si="156"/>
        <v>1</v>
      </c>
      <c r="BX81" s="220">
        <f t="shared" si="146"/>
        <v>1.4264711636412315</v>
      </c>
      <c r="BY81" s="219" t="e">
        <f t="shared" si="131"/>
        <v>#REF!</v>
      </c>
      <c r="BZ81" s="144"/>
      <c r="CA81" s="144">
        <v>100</v>
      </c>
      <c r="CB81" s="207" t="e">
        <f t="shared" si="160"/>
        <v>#REF!</v>
      </c>
      <c r="CD81" s="216" t="s">
        <v>21</v>
      </c>
      <c r="CE81" s="217">
        <f>SUMIF($CD$16:$CD$66,$B81,CN$16:CN$66)/COUNTIF($CD$16:$CD$66,$B81)</f>
        <v>134439.6814272</v>
      </c>
      <c r="CF81" s="348">
        <f t="shared" si="147"/>
        <v>635.64861194893615</v>
      </c>
      <c r="CG81" s="348">
        <f t="shared" si="148"/>
        <v>11203.3067856</v>
      </c>
      <c r="CH81" s="217">
        <f>CN61</f>
        <v>144775.31882400002</v>
      </c>
      <c r="CI81" s="348">
        <f t="shared" si="149"/>
        <v>684.51687387234051</v>
      </c>
      <c r="CJ81" s="222">
        <f t="shared" si="157"/>
        <v>1</v>
      </c>
      <c r="CK81" s="220">
        <f t="shared" si="150"/>
        <v>684.51687387234051</v>
      </c>
      <c r="CL81" s="219">
        <f t="shared" si="133"/>
        <v>7.6879365430487345E-2</v>
      </c>
      <c r="CM81" s="144"/>
      <c r="CN81" s="144">
        <v>100</v>
      </c>
      <c r="CO81" s="207">
        <f t="shared" si="161"/>
        <v>3813891.671693617</v>
      </c>
    </row>
    <row r="82" spans="1:93">
      <c r="A82" s="144"/>
      <c r="B82" s="216" t="s">
        <v>22</v>
      </c>
      <c r="C82" s="216"/>
      <c r="D82" s="217">
        <f>SUMIF($B$16:$B$66,$B82,I$16:I$66)/COUNTIF($B$16:$B$66,$B82)</f>
        <v>123325.21424</v>
      </c>
      <c r="E82" s="218">
        <f t="shared" si="116"/>
        <v>1.3207519597322623</v>
      </c>
      <c r="F82" s="217">
        <f>I66</f>
        <v>136642.42582</v>
      </c>
      <c r="G82" s="218">
        <f t="shared" si="117"/>
        <v>1.4633726995448462</v>
      </c>
      <c r="H82" s="219">
        <f t="shared" si="118"/>
        <v>0.10798449986134817</v>
      </c>
      <c r="I82" s="144"/>
      <c r="J82" s="144"/>
      <c r="K82" s="217">
        <f>SUMIF($B$16:$B$66,$B82,P$16:P$66)/COUNTIF($B$16:$B$66,$B82)</f>
        <v>126436.61960000001</v>
      </c>
      <c r="L82" s="218">
        <f t="shared" si="119"/>
        <v>1.354073570013387</v>
      </c>
      <c r="M82" s="217">
        <f>P66</f>
        <v>139535.04399999999</v>
      </c>
      <c r="N82" s="218">
        <f t="shared" si="135"/>
        <v>1.4943512074966532</v>
      </c>
      <c r="O82" s="222">
        <f t="shared" si="151"/>
        <v>0.8</v>
      </c>
      <c r="P82" s="220">
        <f t="shared" si="136"/>
        <v>1.8679390093708164</v>
      </c>
      <c r="Q82" s="219">
        <f t="shared" si="120"/>
        <v>0.3794959526108681</v>
      </c>
      <c r="R82" s="144"/>
      <c r="S82" s="144"/>
      <c r="T82" s="144"/>
      <c r="U82" s="144"/>
      <c r="V82" s="217">
        <f>SUMIF($B$16:$B$66,$B82,AB$16:AB$66)/COUNTIF($B$16:$B$66,$B82)</f>
        <v>130238.56200000001</v>
      </c>
      <c r="W82" s="218">
        <f t="shared" si="121"/>
        <v>1.3947904899598393</v>
      </c>
      <c r="X82" s="218"/>
      <c r="Y82" s="217">
        <f>AB66</f>
        <v>142332.15400000001</v>
      </c>
      <c r="Z82" s="218">
        <f t="shared" si="137"/>
        <v>1.5243068701472557</v>
      </c>
      <c r="AA82" s="222">
        <f t="shared" si="152"/>
        <v>1</v>
      </c>
      <c r="AB82" s="220">
        <f t="shared" si="138"/>
        <v>1.5243068701472557</v>
      </c>
      <c r="AC82" s="219">
        <f t="shared" si="122"/>
        <v>9.2857229182244927E-2</v>
      </c>
      <c r="AD82" s="144"/>
      <c r="AE82" s="144"/>
      <c r="AF82" s="144"/>
      <c r="AG82" s="144"/>
      <c r="AH82" s="217">
        <f>SUMIF($B$16:$B$66,$B82,AN$16:AN$66)/COUNTIF($B$16:$B$66,$B82)</f>
        <v>131106.5612</v>
      </c>
      <c r="AI82" s="218">
        <f t="shared" si="123"/>
        <v>1.4040863314591701</v>
      </c>
      <c r="AJ82" s="218"/>
      <c r="AK82" s="217">
        <f>AN66</f>
        <v>142940.372</v>
      </c>
      <c r="AL82" s="218">
        <f t="shared" si="139"/>
        <v>1.5308205836680053</v>
      </c>
      <c r="AM82" s="222">
        <f t="shared" si="153"/>
        <v>1</v>
      </c>
      <c r="AN82" s="220">
        <f t="shared" si="140"/>
        <v>1.5308205836680053</v>
      </c>
      <c r="AO82" s="219">
        <f t="shared" si="124"/>
        <v>9.0261011284918036E-2</v>
      </c>
      <c r="AP82" s="144"/>
      <c r="AQ82" s="144"/>
      <c r="AR82" s="144"/>
      <c r="AS82" s="144"/>
      <c r="AT82" s="217" t="e">
        <f>SUMIF($B$16:$B$66,$B82,AZ$16:AZ$66)/COUNTIF($B$16:$B$66,$B82)</f>
        <v>#REF!</v>
      </c>
      <c r="AU82" s="218" t="e">
        <f t="shared" si="125"/>
        <v>#REF!</v>
      </c>
      <c r="AV82" s="218"/>
      <c r="AW82" s="217">
        <f>AZ66</f>
        <v>146925.8236</v>
      </c>
      <c r="AX82" s="218">
        <f t="shared" si="141"/>
        <v>1.5735027962516734</v>
      </c>
      <c r="AY82" s="222">
        <f t="shared" si="154"/>
        <v>1</v>
      </c>
      <c r="AZ82" s="220">
        <f t="shared" si="142"/>
        <v>1.5735027962516734</v>
      </c>
      <c r="BA82" s="219" t="e">
        <f t="shared" si="126"/>
        <v>#REF!</v>
      </c>
      <c r="BB82" s="144"/>
      <c r="BC82" s="144"/>
      <c r="BD82" s="144"/>
      <c r="BE82" s="144"/>
      <c r="BF82" s="217" t="e">
        <f>SUMIF($B$16:$B$66,$B82,BL$16:BL$66)/COUNTIF($B$16:$B$66,$B82)</f>
        <v>#REF!</v>
      </c>
      <c r="BG82" s="218" t="e">
        <f t="shared" si="127"/>
        <v>#REF!</v>
      </c>
      <c r="BH82" s="218"/>
      <c r="BI82" s="217">
        <f>BL66</f>
        <v>150982.0876</v>
      </c>
      <c r="BJ82" s="218">
        <f t="shared" si="143"/>
        <v>1.6169433745649264</v>
      </c>
      <c r="BK82" s="222">
        <f t="shared" si="155"/>
        <v>1</v>
      </c>
      <c r="BL82" s="220">
        <f t="shared" si="144"/>
        <v>1.6169433745649264</v>
      </c>
      <c r="BM82" s="219" t="e">
        <f t="shared" si="128"/>
        <v>#REF!</v>
      </c>
      <c r="BN82" s="144"/>
      <c r="BO82" s="144">
        <v>100</v>
      </c>
      <c r="BP82" s="207" t="e">
        <f t="shared" si="159"/>
        <v>#REF!</v>
      </c>
      <c r="BR82" s="217" t="e">
        <f>SUMIF($B$16:$B$66,$B82,BX$16:BX$66)/COUNTIF($B$16:$B$66,$B82)</f>
        <v>#REF!</v>
      </c>
      <c r="BS82" s="218" t="e">
        <f t="shared" si="130"/>
        <v>#REF!</v>
      </c>
      <c r="BT82" s="218"/>
      <c r="BU82" s="217">
        <f>BX66</f>
        <v>157180.059805</v>
      </c>
      <c r="BV82" s="218">
        <f t="shared" si="145"/>
        <v>1.6833205869344043</v>
      </c>
      <c r="BW82" s="222">
        <f t="shared" si="156"/>
        <v>1</v>
      </c>
      <c r="BX82" s="220">
        <f t="shared" si="146"/>
        <v>1.6833205869344043</v>
      </c>
      <c r="BY82" s="219" t="e">
        <f t="shared" si="131"/>
        <v>#REF!</v>
      </c>
      <c r="BZ82" s="144"/>
      <c r="CA82" s="144">
        <v>100</v>
      </c>
      <c r="CB82" s="207" t="e">
        <f t="shared" si="160"/>
        <v>#REF!</v>
      </c>
      <c r="CD82" s="216" t="s">
        <v>22</v>
      </c>
      <c r="CE82" s="217">
        <f>SUMIF($CD$16:$CD$66,$B82,CN$16:CN$66)/COUNTIF($CD$16:$CD$66,$B82)</f>
        <v>159532.26364319999</v>
      </c>
      <c r="CF82" s="348">
        <f t="shared" si="147"/>
        <v>754.28966261560277</v>
      </c>
      <c r="CG82" s="348">
        <f t="shared" si="148"/>
        <v>13294.355303599999</v>
      </c>
      <c r="CH82" s="217">
        <f>CN66</f>
        <v>170732.97976799999</v>
      </c>
      <c r="CI82" s="348">
        <f t="shared" si="149"/>
        <v>807.24813129078007</v>
      </c>
      <c r="CJ82" s="222">
        <f t="shared" si="157"/>
        <v>1</v>
      </c>
      <c r="CK82" s="220">
        <f t="shared" si="150"/>
        <v>807.24813129078007</v>
      </c>
      <c r="CL82" s="219">
        <f t="shared" si="133"/>
        <v>7.0209723531854618E-2</v>
      </c>
      <c r="CM82" s="144"/>
      <c r="CN82" s="144">
        <v>100</v>
      </c>
      <c r="CO82" s="207">
        <f t="shared" si="161"/>
        <v>4525737.9756936161</v>
      </c>
    </row>
    <row r="83" spans="1:93">
      <c r="A83" s="144"/>
      <c r="B83" s="236"/>
      <c r="C83" s="236"/>
      <c r="D83" s="237"/>
      <c r="E83" s="238"/>
      <c r="F83" s="237"/>
      <c r="G83" s="238"/>
      <c r="H83" s="239"/>
      <c r="K83" s="237"/>
      <c r="L83" s="238"/>
      <c r="M83" s="237">
        <f>14000*12</f>
        <v>168000</v>
      </c>
      <c r="N83" s="238">
        <f t="shared" si="135"/>
        <v>1.7991967871485943</v>
      </c>
      <c r="O83" s="240">
        <v>0.9</v>
      </c>
      <c r="P83" s="241">
        <f t="shared" si="136"/>
        <v>1.9991075412762158</v>
      </c>
      <c r="Q83" s="239" t="e">
        <f t="shared" si="120"/>
        <v>#DIV/0!</v>
      </c>
      <c r="R83" s="144"/>
      <c r="S83" s="144"/>
      <c r="T83" s="144"/>
      <c r="U83" s="144"/>
      <c r="V83" s="144"/>
      <c r="W83" s="144"/>
      <c r="X83" s="144"/>
      <c r="Y83" s="237">
        <f>14500*12</f>
        <v>174000</v>
      </c>
      <c r="Z83" s="238">
        <f t="shared" si="137"/>
        <v>1.8634538152610443</v>
      </c>
      <c r="AA83" s="240">
        <v>0.9</v>
      </c>
      <c r="AB83" s="241">
        <f t="shared" si="138"/>
        <v>2.0705042391789381</v>
      </c>
      <c r="AC83" s="239" t="e">
        <f t="shared" ref="AC83" si="162">+AB83/X83-1</f>
        <v>#DIV/0!</v>
      </c>
      <c r="AD83" s="144"/>
      <c r="AE83" s="144"/>
      <c r="AF83" s="144"/>
      <c r="AG83" s="144"/>
      <c r="AH83" s="144"/>
      <c r="AI83" s="144"/>
      <c r="AJ83" s="144"/>
      <c r="AK83" s="237">
        <f>14500*12</f>
        <v>174000</v>
      </c>
      <c r="AL83" s="238">
        <f t="shared" si="139"/>
        <v>1.8634538152610443</v>
      </c>
      <c r="AM83" s="240">
        <v>0.9</v>
      </c>
      <c r="AN83" s="241">
        <f t="shared" si="140"/>
        <v>2.0705042391789381</v>
      </c>
      <c r="AO83" s="239" t="e">
        <f t="shared" ref="AO83" si="163">+AN83/AJ83-1</f>
        <v>#DIV/0!</v>
      </c>
      <c r="AP83" s="144"/>
      <c r="AQ83" s="144"/>
      <c r="AR83" s="144"/>
      <c r="AS83" s="144"/>
      <c r="AT83" s="144"/>
      <c r="AU83" s="144"/>
      <c r="AV83" s="144"/>
      <c r="AW83" s="237">
        <f>14500*12</f>
        <v>174000</v>
      </c>
      <c r="AX83" s="238">
        <f t="shared" si="141"/>
        <v>1.8634538152610443</v>
      </c>
      <c r="AY83" s="240">
        <v>0.9</v>
      </c>
      <c r="AZ83" s="241">
        <f t="shared" si="142"/>
        <v>2.0705042391789381</v>
      </c>
      <c r="BA83" s="239" t="e">
        <f t="shared" ref="BA83" si="164">+AZ83/AV83-1</f>
        <v>#DIV/0!</v>
      </c>
      <c r="BB83" s="144"/>
      <c r="BC83" s="273">
        <f>SUM(BC76:BC82)</f>
        <v>1600</v>
      </c>
      <c r="BD83" s="272" t="e">
        <f>SUM(BD76:BD82)</f>
        <v>#REF!</v>
      </c>
      <c r="BE83" s="144"/>
      <c r="BF83" s="144"/>
      <c r="BG83" s="144"/>
      <c r="BH83" s="144"/>
      <c r="BI83" s="237">
        <f>15000*12</f>
        <v>180000</v>
      </c>
      <c r="BJ83" s="238">
        <f t="shared" si="143"/>
        <v>1.927710843373494</v>
      </c>
      <c r="BK83" s="240">
        <v>0.9</v>
      </c>
      <c r="BL83" s="241">
        <f t="shared" si="144"/>
        <v>2.14190093708166</v>
      </c>
      <c r="BM83" s="239" t="e">
        <f t="shared" ref="BM83" si="165">+BL83/BH83-1</f>
        <v>#DIV/0!</v>
      </c>
      <c r="BN83" s="144"/>
      <c r="BO83" s="273">
        <f>SUM(BO76:BO82)</f>
        <v>700</v>
      </c>
      <c r="BP83" s="272" t="e">
        <f>SUM(BP76:BP82)</f>
        <v>#REF!</v>
      </c>
      <c r="BR83" s="144"/>
      <c r="BS83" s="144"/>
      <c r="BT83" s="144"/>
      <c r="BU83" s="237">
        <f>15000*12*(1+BR8)</f>
        <v>189000</v>
      </c>
      <c r="BV83" s="238">
        <f t="shared" si="145"/>
        <v>2.0240963855421685</v>
      </c>
      <c r="BW83" s="240">
        <v>0.9</v>
      </c>
      <c r="BX83" s="241">
        <f t="shared" si="146"/>
        <v>2.248995983935743</v>
      </c>
      <c r="BY83" s="239" t="e">
        <f t="shared" ref="BY83" si="166">+BX83/BT83-1</f>
        <v>#DIV/0!</v>
      </c>
      <c r="BZ83" s="144"/>
      <c r="CA83" s="273">
        <f>SUM(CA76:CA82)</f>
        <v>700</v>
      </c>
      <c r="CB83" s="272" t="e">
        <f>SUM(CB76:CB82)</f>
        <v>#REF!</v>
      </c>
      <c r="CD83" s="236" t="s">
        <v>311</v>
      </c>
      <c r="CE83" s="330"/>
      <c r="CF83" s="330"/>
      <c r="CG83" s="331"/>
      <c r="CH83" s="237">
        <v>200000</v>
      </c>
      <c r="CI83" s="238">
        <f t="shared" ref="CI83" si="167">+CH83/$E$94</f>
        <v>2.14190093708166</v>
      </c>
      <c r="CJ83" s="240">
        <v>0.9</v>
      </c>
      <c r="CK83" s="241">
        <f t="shared" si="150"/>
        <v>2.3798899300907332</v>
      </c>
      <c r="CL83" s="239" t="e">
        <f t="shared" ref="CL83" si="168">+CK83/CG83-1</f>
        <v>#DIV/0!</v>
      </c>
      <c r="CM83" s="144"/>
      <c r="CN83" s="273">
        <f>SUM(CN76:CN82)</f>
        <v>700</v>
      </c>
      <c r="CO83" s="272">
        <f>SUM(CO76:CO82)</f>
        <v>20851228.076881703</v>
      </c>
    </row>
    <row r="84" spans="1:93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  <c r="AJ84" s="144"/>
      <c r="AK84" s="144"/>
      <c r="AL84" s="144"/>
      <c r="AM84" s="144"/>
      <c r="AN84" s="144"/>
      <c r="AO84" s="144"/>
      <c r="AP84" s="144"/>
      <c r="AQ84" s="144"/>
      <c r="AR84" s="144"/>
      <c r="AS84" s="144"/>
      <c r="AT84" s="144"/>
      <c r="AU84" s="144"/>
      <c r="AV84" s="144"/>
      <c r="AW84" s="144"/>
      <c r="AX84" s="144"/>
      <c r="AY84" s="144"/>
      <c r="AZ84" s="144"/>
      <c r="BA84" s="144"/>
      <c r="BB84" s="144"/>
      <c r="BC84" s="144"/>
      <c r="BD84" s="144"/>
      <c r="BE84" s="144"/>
      <c r="BF84" s="144"/>
      <c r="BG84" s="144"/>
      <c r="BH84" s="144"/>
      <c r="BI84" s="144"/>
      <c r="BJ84" s="144"/>
      <c r="BK84" s="144"/>
      <c r="BL84" s="144"/>
      <c r="BM84" s="144"/>
      <c r="BN84" s="144"/>
      <c r="BO84" s="144"/>
      <c r="BP84" s="144"/>
      <c r="BR84" s="144"/>
      <c r="BS84" s="144"/>
      <c r="BT84" s="144"/>
      <c r="BU84" s="144"/>
      <c r="BV84" s="144"/>
      <c r="BW84" s="144"/>
      <c r="BX84" s="144"/>
      <c r="BY84" s="144"/>
      <c r="BZ84" s="144"/>
      <c r="CA84" s="144"/>
      <c r="CB84" s="144"/>
    </row>
    <row r="85" spans="1:93" ht="13">
      <c r="A85" s="144"/>
      <c r="B85" s="223" t="s">
        <v>262</v>
      </c>
      <c r="C85" s="224"/>
      <c r="D85" s="224"/>
      <c r="E85" s="225"/>
      <c r="F85" s="144"/>
      <c r="G85" s="144"/>
      <c r="H85" s="144"/>
      <c r="I85" s="144"/>
      <c r="J85" s="144"/>
      <c r="K85" s="229" t="s">
        <v>299</v>
      </c>
      <c r="L85" s="229" t="s">
        <v>283</v>
      </c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  <c r="AQ85" s="144"/>
      <c r="AR85" s="144"/>
      <c r="AS85" s="144"/>
      <c r="AT85" s="144"/>
      <c r="AU85" s="144"/>
      <c r="AV85" s="144"/>
      <c r="AW85" s="144"/>
      <c r="AX85" s="144"/>
      <c r="AY85" s="144"/>
      <c r="AZ85" s="144"/>
      <c r="BA85" s="144"/>
      <c r="BB85" s="144"/>
      <c r="BC85" s="144"/>
      <c r="BD85" s="144"/>
      <c r="BE85" s="144"/>
      <c r="BF85" s="144"/>
      <c r="BG85" s="144"/>
      <c r="BH85" s="144"/>
      <c r="BI85" s="144"/>
      <c r="BJ85" s="144"/>
      <c r="BK85" s="144"/>
      <c r="BL85" s="144"/>
      <c r="BM85" s="144"/>
      <c r="BN85" s="144"/>
      <c r="BO85" s="144"/>
      <c r="BP85" s="144"/>
      <c r="BR85" s="144"/>
      <c r="BS85" s="144"/>
      <c r="BT85" s="144"/>
      <c r="BU85" s="144"/>
      <c r="BV85" s="144"/>
      <c r="BW85" s="144"/>
      <c r="BX85" s="144"/>
      <c r="BY85" s="144"/>
      <c r="BZ85" s="144"/>
      <c r="CA85" s="144"/>
      <c r="CB85" s="144"/>
      <c r="CG85" s="349"/>
    </row>
    <row r="86" spans="1:93">
      <c r="A86" s="144"/>
      <c r="B86" s="146"/>
      <c r="C86" s="226"/>
      <c r="D86" s="226"/>
      <c r="E86" s="147"/>
      <c r="F86" s="144"/>
      <c r="G86" s="144"/>
      <c r="H86" s="144"/>
      <c r="I86" s="144"/>
      <c r="J86" s="144"/>
      <c r="K86" s="229"/>
      <c r="L86" s="229" t="s">
        <v>284</v>
      </c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4"/>
      <c r="AX86" s="144"/>
      <c r="AY86" s="144"/>
      <c r="AZ86" s="144"/>
      <c r="BA86" s="144"/>
      <c r="BB86" s="144"/>
      <c r="BC86" s="144"/>
      <c r="BD86" s="144"/>
      <c r="BE86" s="144"/>
      <c r="BF86" s="144"/>
      <c r="BG86" s="144"/>
      <c r="BH86" s="144"/>
      <c r="BI86" s="144"/>
      <c r="BJ86" s="144"/>
      <c r="BK86" s="144"/>
      <c r="BL86" s="144"/>
      <c r="BM86" s="144"/>
      <c r="BN86" s="144"/>
      <c r="BO86" s="144"/>
      <c r="BP86" s="144"/>
      <c r="BR86" s="144"/>
      <c r="BS86" s="144"/>
      <c r="BT86" s="144"/>
      <c r="BU86" s="144"/>
      <c r="BV86" s="144"/>
      <c r="BW86" s="144"/>
      <c r="BX86" s="144"/>
      <c r="BY86" s="144"/>
      <c r="BZ86" s="144"/>
      <c r="CA86" s="144"/>
      <c r="CB86" s="144"/>
    </row>
    <row r="87" spans="1:93">
      <c r="A87" s="144"/>
      <c r="B87" s="146"/>
      <c r="C87" s="227" t="s">
        <v>113</v>
      </c>
      <c r="D87" s="144"/>
      <c r="E87" s="228">
        <f>52*5</f>
        <v>260</v>
      </c>
      <c r="F87" s="144"/>
      <c r="G87" s="144"/>
      <c r="H87" s="144"/>
      <c r="I87" s="144"/>
      <c r="J87" s="144"/>
      <c r="K87" s="229"/>
      <c r="L87" s="229" t="s">
        <v>285</v>
      </c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144"/>
      <c r="AJ87" s="144"/>
      <c r="AK87" s="144"/>
      <c r="AL87" s="144"/>
      <c r="AM87" s="144"/>
      <c r="AN87" s="144"/>
      <c r="AO87" s="144"/>
      <c r="AP87" s="144"/>
      <c r="AQ87" s="144"/>
      <c r="AR87" s="144"/>
      <c r="AS87" s="144"/>
      <c r="AT87" s="144"/>
      <c r="AU87" s="144"/>
      <c r="AV87" s="144"/>
      <c r="AW87" s="144"/>
      <c r="AX87" s="144"/>
      <c r="AY87" s="144"/>
      <c r="AZ87" s="144"/>
      <c r="BA87" s="144"/>
      <c r="BB87" s="144"/>
      <c r="BC87" s="144"/>
      <c r="BD87" s="144"/>
      <c r="BE87" s="144"/>
      <c r="BF87" s="144"/>
      <c r="BG87" s="144"/>
      <c r="BH87" s="144"/>
      <c r="BI87" s="144"/>
      <c r="BJ87" s="144"/>
      <c r="BK87" s="144"/>
      <c r="BL87" s="144"/>
      <c r="BM87" s="144"/>
      <c r="BN87" s="144"/>
      <c r="BO87" s="144"/>
      <c r="BP87" s="144"/>
      <c r="BR87" s="144"/>
      <c r="BS87" s="144"/>
      <c r="BT87" s="144"/>
      <c r="BU87" s="144"/>
      <c r="BV87" s="144"/>
      <c r="BW87" s="144"/>
      <c r="BX87" s="144"/>
      <c r="BY87" s="144"/>
      <c r="BZ87" s="144"/>
      <c r="CA87" s="144"/>
      <c r="CB87" s="144"/>
      <c r="CF87" s="349"/>
    </row>
    <row r="88" spans="1:93">
      <c r="A88" s="144"/>
      <c r="B88" s="146"/>
      <c r="C88" s="227" t="s">
        <v>114</v>
      </c>
      <c r="D88" s="144"/>
      <c r="E88" s="228">
        <v>-33</v>
      </c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  <c r="AD88" s="144"/>
      <c r="AE88" s="144"/>
      <c r="AF88" s="144"/>
      <c r="AG88" s="144"/>
      <c r="AH88" s="144"/>
      <c r="AI88" s="144"/>
      <c r="AJ88" s="144"/>
      <c r="AK88" s="144"/>
      <c r="AL88" s="144"/>
      <c r="AM88" s="144"/>
      <c r="AN88" s="144"/>
      <c r="AO88" s="144"/>
      <c r="AP88" s="144"/>
      <c r="AQ88" s="144"/>
      <c r="AR88" s="144"/>
      <c r="AS88" s="144"/>
      <c r="AT88" s="144"/>
      <c r="AU88" s="144"/>
      <c r="AV88" s="144"/>
      <c r="AW88" s="144"/>
      <c r="AX88" s="144"/>
      <c r="AY88" s="144"/>
      <c r="AZ88" s="144"/>
      <c r="BA88" s="144"/>
      <c r="BB88" s="144"/>
      <c r="BC88" s="144"/>
      <c r="BD88" s="144"/>
      <c r="BE88" s="144"/>
      <c r="BF88" s="144"/>
      <c r="BG88" s="144"/>
      <c r="BH88" s="144"/>
      <c r="BI88" s="144"/>
      <c r="BJ88" s="144"/>
      <c r="BK88" s="144"/>
      <c r="BL88" s="144"/>
      <c r="BM88" s="144"/>
      <c r="BN88" s="144"/>
      <c r="BO88" s="144"/>
      <c r="BP88" s="144"/>
      <c r="BR88" s="144"/>
      <c r="BS88" s="144"/>
      <c r="BT88" s="144"/>
      <c r="BU88" s="144"/>
      <c r="BV88" s="144"/>
      <c r="BW88" s="144"/>
      <c r="BX88" s="144"/>
      <c r="BY88" s="144"/>
      <c r="BZ88" s="144"/>
      <c r="CA88" s="144"/>
      <c r="CB88" s="144"/>
    </row>
    <row r="89" spans="1:93">
      <c r="B89" s="131"/>
      <c r="C89" s="21" t="s">
        <v>115</v>
      </c>
      <c r="E89" s="137">
        <v>-8</v>
      </c>
    </row>
    <row r="90" spans="1:93" ht="13">
      <c r="B90" s="131"/>
      <c r="C90" s="21" t="s">
        <v>116</v>
      </c>
      <c r="D90" s="134">
        <v>2.5000000000000001E-2</v>
      </c>
      <c r="E90" s="137">
        <f>-E87*D90</f>
        <v>-6.5</v>
      </c>
      <c r="F90" s="103" t="s">
        <v>313</v>
      </c>
      <c r="CJ90" s="223" t="s">
        <v>262</v>
      </c>
      <c r="CK90" s="224"/>
      <c r="CL90" s="224"/>
      <c r="CM90" s="225"/>
    </row>
    <row r="91" spans="1:93">
      <c r="B91" s="131"/>
      <c r="C91" s="21" t="s">
        <v>117</v>
      </c>
      <c r="E91" s="137">
        <v>-5</v>
      </c>
      <c r="CJ91" s="146"/>
      <c r="CK91" s="226"/>
      <c r="CL91" s="226"/>
      <c r="CM91" s="147"/>
    </row>
    <row r="92" spans="1:93" ht="13">
      <c r="B92" s="22"/>
      <c r="C92" s="142" t="s">
        <v>312</v>
      </c>
      <c r="E92" s="141">
        <f>+SUM(E87:E91)</f>
        <v>207.5</v>
      </c>
      <c r="F92" s="132"/>
      <c r="CJ92" s="146"/>
      <c r="CK92" s="341" t="s">
        <v>113</v>
      </c>
      <c r="CL92" s="144"/>
      <c r="CM92" s="342">
        <f>52*5</f>
        <v>260</v>
      </c>
    </row>
    <row r="93" spans="1:93" ht="13">
      <c r="B93" s="131"/>
      <c r="C93" s="19" t="s">
        <v>260</v>
      </c>
      <c r="D93" s="135">
        <v>7.5</v>
      </c>
      <c r="E93" s="141">
        <f>E92*D93</f>
        <v>1556.25</v>
      </c>
      <c r="CJ93" s="146"/>
      <c r="CK93" s="343" t="s">
        <v>115</v>
      </c>
      <c r="CM93" s="344">
        <v>-8</v>
      </c>
    </row>
    <row r="94" spans="1:93" ht="13">
      <c r="B94" s="133"/>
      <c r="C94" s="143" t="s">
        <v>118</v>
      </c>
      <c r="D94" s="136">
        <f>7.5*60</f>
        <v>450</v>
      </c>
      <c r="E94" s="141">
        <f>E92*D94</f>
        <v>93375</v>
      </c>
      <c r="CD94" s="352" t="s">
        <v>416</v>
      </c>
      <c r="CE94" s="353"/>
      <c r="CF94" s="353"/>
      <c r="CG94" s="353"/>
      <c r="CJ94" s="146"/>
      <c r="CK94" s="341" t="s">
        <v>447</v>
      </c>
      <c r="CL94" s="144"/>
      <c r="CM94" s="342">
        <f>CM92+CM93</f>
        <v>252</v>
      </c>
    </row>
    <row r="95" spans="1:93">
      <c r="CD95" s="353" t="s">
        <v>415</v>
      </c>
      <c r="CE95" s="353"/>
      <c r="CF95" s="353" t="s">
        <v>431</v>
      </c>
      <c r="CG95" s="353"/>
      <c r="CJ95" s="146"/>
      <c r="CK95" s="341" t="s">
        <v>448</v>
      </c>
      <c r="CL95" s="144"/>
      <c r="CM95" s="345">
        <v>-30</v>
      </c>
    </row>
    <row r="96" spans="1:93">
      <c r="CD96" s="353" t="s">
        <v>417</v>
      </c>
      <c r="CE96" s="353"/>
      <c r="CF96" s="353" t="s">
        <v>433</v>
      </c>
      <c r="CG96" s="353"/>
      <c r="CJ96" s="131"/>
      <c r="CK96" s="343" t="s">
        <v>449</v>
      </c>
      <c r="CL96" s="134">
        <v>2.5000000000000001E-2</v>
      </c>
      <c r="CM96" s="346">
        <f>-CM92*CL96</f>
        <v>-6.5</v>
      </c>
    </row>
    <row r="97" spans="82:91">
      <c r="CD97" s="353" t="s">
        <v>418</v>
      </c>
      <c r="CE97" s="353"/>
      <c r="CF97" s="353" t="s">
        <v>432</v>
      </c>
      <c r="CG97" s="353"/>
      <c r="CJ97" s="131"/>
      <c r="CK97" s="343" t="s">
        <v>450</v>
      </c>
      <c r="CM97" s="346">
        <v>-4</v>
      </c>
    </row>
    <row r="98" spans="82:91" ht="13">
      <c r="CD98" s="353" t="s">
        <v>419</v>
      </c>
      <c r="CE98" s="353"/>
      <c r="CF98" s="353"/>
      <c r="CG98" s="353"/>
      <c r="CJ98" s="22"/>
      <c r="CK98" s="142" t="s">
        <v>312</v>
      </c>
      <c r="CM98" s="347">
        <f>+SUM(CM94:CM97)</f>
        <v>211.5</v>
      </c>
    </row>
    <row r="99" spans="82:91" ht="13">
      <c r="CD99" s="353"/>
      <c r="CE99" s="353"/>
      <c r="CF99" s="353"/>
      <c r="CG99" s="353"/>
      <c r="CJ99" s="131"/>
      <c r="CK99" s="19" t="s">
        <v>260</v>
      </c>
      <c r="CL99" s="135">
        <v>7.5</v>
      </c>
      <c r="CM99" s="141">
        <f>CM98*CL99</f>
        <v>1586.25</v>
      </c>
    </row>
    <row r="100" spans="82:91" ht="13">
      <c r="CD100" s="353" t="s">
        <v>421</v>
      </c>
      <c r="CE100" s="353"/>
      <c r="CF100" s="353"/>
      <c r="CG100" s="353"/>
      <c r="CJ100" s="133"/>
      <c r="CK100" s="143" t="s">
        <v>118</v>
      </c>
      <c r="CL100" s="136">
        <f>7.5*60</f>
        <v>450</v>
      </c>
      <c r="CM100" s="141">
        <f>CM98*CL100</f>
        <v>95175</v>
      </c>
    </row>
    <row r="101" spans="82:91">
      <c r="CD101" s="353" t="s">
        <v>422</v>
      </c>
      <c r="CE101" s="353"/>
      <c r="CF101" s="353" t="s">
        <v>212</v>
      </c>
      <c r="CG101" s="353"/>
    </row>
    <row r="102" spans="82:91">
      <c r="CD102" s="353"/>
      <c r="CE102" s="353"/>
      <c r="CF102" s="353" t="s">
        <v>445</v>
      </c>
      <c r="CG102" s="353"/>
    </row>
    <row r="103" spans="82:91">
      <c r="CD103" s="353"/>
      <c r="CE103" s="353"/>
      <c r="CF103" s="353"/>
      <c r="CG103" s="353"/>
    </row>
    <row r="104" spans="82:91">
      <c r="CD104" s="353">
        <v>1</v>
      </c>
      <c r="CE104" s="353"/>
      <c r="CF104" s="353"/>
      <c r="CG104" s="353"/>
    </row>
    <row r="105" spans="82:91">
      <c r="CD105" s="353">
        <v>2</v>
      </c>
      <c r="CE105" s="353"/>
      <c r="CF105" s="353"/>
      <c r="CG105" s="353"/>
    </row>
    <row r="106" spans="82:91">
      <c r="CD106" s="353">
        <v>3</v>
      </c>
      <c r="CE106" s="353"/>
      <c r="CF106" s="353"/>
      <c r="CG106" s="353"/>
    </row>
    <row r="107" spans="82:91">
      <c r="CD107" s="353">
        <v>4</v>
      </c>
      <c r="CE107" s="353"/>
      <c r="CF107" s="353"/>
      <c r="CG107" s="353"/>
    </row>
    <row r="108" spans="82:91">
      <c r="CD108" s="353">
        <v>5</v>
      </c>
      <c r="CE108" s="353"/>
      <c r="CF108" s="353"/>
      <c r="CG108" s="353"/>
    </row>
    <row r="109" spans="82:91">
      <c r="CD109" s="353">
        <v>6</v>
      </c>
      <c r="CE109" s="353"/>
      <c r="CF109" s="353"/>
      <c r="CG109" s="353"/>
    </row>
    <row r="110" spans="82:91">
      <c r="CD110" s="353">
        <v>7</v>
      </c>
      <c r="CE110" s="353"/>
      <c r="CF110" s="353"/>
      <c r="CG110" s="353"/>
    </row>
    <row r="111" spans="82:91">
      <c r="CD111" s="353">
        <v>8</v>
      </c>
      <c r="CE111" s="353"/>
      <c r="CF111" s="353"/>
      <c r="CG111" s="353"/>
    </row>
    <row r="112" spans="82:91">
      <c r="CD112" s="353">
        <v>9</v>
      </c>
      <c r="CE112" s="353"/>
      <c r="CF112" s="353"/>
      <c r="CG112" s="353"/>
    </row>
    <row r="113" spans="82:85">
      <c r="CD113" s="353">
        <v>10</v>
      </c>
      <c r="CE113" s="353"/>
      <c r="CF113" s="353"/>
      <c r="CG113" s="353"/>
    </row>
    <row r="114" spans="82:85">
      <c r="CD114" s="353">
        <v>11</v>
      </c>
      <c r="CE114" s="353"/>
      <c r="CF114" s="353"/>
      <c r="CG114" s="353"/>
    </row>
    <row r="115" spans="82:85">
      <c r="CD115" s="353">
        <v>12</v>
      </c>
      <c r="CE115" s="353"/>
      <c r="CF115" s="353"/>
      <c r="CG115" s="353"/>
    </row>
    <row r="116" spans="82:85">
      <c r="CD116" s="353">
        <v>13</v>
      </c>
      <c r="CE116" s="353"/>
      <c r="CF116" s="353"/>
      <c r="CG116" s="353"/>
    </row>
    <row r="117" spans="82:85">
      <c r="CD117" s="353">
        <v>14</v>
      </c>
      <c r="CE117" s="353"/>
      <c r="CF117" s="353"/>
      <c r="CG117" s="353"/>
    </row>
    <row r="118" spans="82:85">
      <c r="CD118" s="353">
        <v>15</v>
      </c>
      <c r="CE118" s="353"/>
      <c r="CF118" s="353"/>
      <c r="CG118" s="353"/>
    </row>
    <row r="119" spans="82:85">
      <c r="CD119" s="353">
        <v>16</v>
      </c>
      <c r="CE119" s="353"/>
      <c r="CF119" s="353"/>
      <c r="CG119" s="353"/>
    </row>
    <row r="120" spans="82:85">
      <c r="CD120" s="353">
        <v>17</v>
      </c>
      <c r="CE120" s="353"/>
      <c r="CF120" s="353"/>
      <c r="CG120" s="353"/>
    </row>
    <row r="121" spans="82:85">
      <c r="CD121" s="353">
        <v>18</v>
      </c>
      <c r="CE121" s="353"/>
      <c r="CF121" s="353"/>
      <c r="CG121" s="353"/>
    </row>
    <row r="122" spans="82:85">
      <c r="CD122" s="353">
        <v>19</v>
      </c>
      <c r="CE122" s="353"/>
      <c r="CF122" s="353"/>
      <c r="CG122" s="353"/>
    </row>
    <row r="123" spans="82:85">
      <c r="CD123" s="353">
        <v>20</v>
      </c>
      <c r="CE123" s="353"/>
      <c r="CF123" s="353"/>
      <c r="CG123" s="353"/>
    </row>
    <row r="124" spans="82:85">
      <c r="CD124" s="353">
        <v>21</v>
      </c>
      <c r="CE124" s="353"/>
      <c r="CF124" s="353"/>
      <c r="CG124" s="353"/>
    </row>
    <row r="125" spans="82:85">
      <c r="CD125" s="353">
        <v>22</v>
      </c>
      <c r="CE125" s="353"/>
      <c r="CF125" s="353"/>
      <c r="CG125" s="353"/>
    </row>
    <row r="126" spans="82:85">
      <c r="CD126" s="353">
        <v>23</v>
      </c>
      <c r="CE126" s="353"/>
      <c r="CF126" s="353"/>
      <c r="CG126" s="353"/>
    </row>
    <row r="127" spans="82:85">
      <c r="CD127" s="353">
        <v>24</v>
      </c>
      <c r="CE127" s="353"/>
      <c r="CF127" s="353"/>
      <c r="CG127" s="353"/>
    </row>
  </sheetData>
  <mergeCells count="23">
    <mergeCell ref="AH69:AO69"/>
    <mergeCell ref="BF2:BL2"/>
    <mergeCell ref="BK4:BL4"/>
    <mergeCell ref="BF69:BM69"/>
    <mergeCell ref="AT2:AZ2"/>
    <mergeCell ref="AY4:AZ4"/>
    <mergeCell ref="AT69:BA69"/>
    <mergeCell ref="CE69:CL69"/>
    <mergeCell ref="CI15:CJ15"/>
    <mergeCell ref="D2:I2"/>
    <mergeCell ref="H4:I4"/>
    <mergeCell ref="K2:P2"/>
    <mergeCell ref="O4:P4"/>
    <mergeCell ref="D69:H69"/>
    <mergeCell ref="K69:Q69"/>
    <mergeCell ref="BR2:BX2"/>
    <mergeCell ref="BW4:BX4"/>
    <mergeCell ref="BR69:BY69"/>
    <mergeCell ref="V2:AB2"/>
    <mergeCell ref="AA4:AB4"/>
    <mergeCell ref="V69:AC69"/>
    <mergeCell ref="AH2:AN2"/>
    <mergeCell ref="AM4:AN4"/>
  </mergeCells>
  <pageMargins left="0.31" right="0.3" top="0.74803149606299213" bottom="0.74803149606299213" header="0.31496062992125984" footer="0.31496062992125984"/>
  <pageSetup paperSize="8" scale="72" orientation="portrait" r:id="rId1"/>
  <headerFooter>
    <oddFooter>&amp;L&amp;Z&amp;F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rgb="FFCC99FF"/>
    <pageSetUpPr fitToPage="1"/>
  </sheetPr>
  <dimension ref="A1:Y84"/>
  <sheetViews>
    <sheetView showGridLines="0" showZeros="0" tabSelected="1" zoomScaleNormal="100" zoomScaleSheetLayoutView="55" workbookViewId="0">
      <pane xSplit="2" ySplit="12" topLeftCell="C13" activePane="bottomRight" state="frozen"/>
      <selection pane="topRight" activeCell="C1" sqref="C1"/>
      <selection pane="bottomLeft" activeCell="A14" sqref="A14"/>
      <selection pane="bottomRight" activeCell="F17" sqref="F17"/>
    </sheetView>
  </sheetViews>
  <sheetFormatPr defaultColWidth="9.1796875" defaultRowHeight="12.5" outlineLevelRow="1" outlineLevelCol="1"/>
  <cols>
    <col min="1" max="1" width="5.453125" style="23" customWidth="1"/>
    <col min="2" max="2" width="38.08984375" style="150" customWidth="1"/>
    <col min="3" max="7" width="15.54296875" style="23" customWidth="1"/>
    <col min="8" max="8" width="1.7265625" style="387" customWidth="1"/>
    <col min="9" max="13" width="15.54296875" style="23" customWidth="1" outlineLevel="1"/>
    <col min="14" max="14" width="2.7265625" style="387" customWidth="1"/>
    <col min="15" max="19" width="15.54296875" style="23" customWidth="1" outlineLevel="1"/>
    <col min="20" max="20" width="1.54296875" style="23" customWidth="1" outlineLevel="1"/>
    <col min="21" max="23" width="16.36328125" style="23" customWidth="1"/>
    <col min="24" max="16384" width="9.1796875" style="23"/>
  </cols>
  <sheetData>
    <row r="1" spans="1:23" ht="14">
      <c r="B1" s="338"/>
      <c r="G1" s="152" t="s">
        <v>480</v>
      </c>
      <c r="I1" s="19"/>
      <c r="M1" s="152" t="s">
        <v>481</v>
      </c>
    </row>
    <row r="2" spans="1:23" ht="25">
      <c r="B2" s="339"/>
      <c r="C2" s="339" t="s">
        <v>440</v>
      </c>
      <c r="D2" s="155"/>
      <c r="E2" s="155"/>
      <c r="F2" s="155"/>
      <c r="G2" s="155"/>
      <c r="H2" s="388"/>
      <c r="I2" s="155"/>
      <c r="J2" s="155"/>
      <c r="K2" s="155"/>
      <c r="L2" s="155"/>
      <c r="M2" s="155"/>
      <c r="N2" s="388"/>
      <c r="O2" s="155"/>
      <c r="P2" s="155"/>
      <c r="Q2" s="155"/>
      <c r="R2" s="155"/>
      <c r="S2" s="155"/>
      <c r="T2" s="155"/>
      <c r="U2" s="155"/>
      <c r="V2" s="155"/>
      <c r="W2" s="155"/>
    </row>
    <row r="3" spans="1:23" ht="13">
      <c r="A3" s="103"/>
      <c r="B3" s="152"/>
      <c r="C3" s="19"/>
      <c r="D3" s="103"/>
      <c r="E3" s="103"/>
      <c r="F3" s="103"/>
      <c r="G3" s="103"/>
      <c r="H3" s="389"/>
      <c r="I3" s="103"/>
      <c r="J3" s="103"/>
      <c r="K3" s="103"/>
      <c r="L3" s="103"/>
      <c r="M3" s="103"/>
      <c r="N3" s="389"/>
    </row>
    <row r="4" spans="1:23" ht="27.75" customHeight="1">
      <c r="C4" s="159"/>
      <c r="D4" s="103"/>
      <c r="E4" s="103"/>
      <c r="F4" s="103"/>
      <c r="G4" s="103"/>
      <c r="H4" s="389"/>
      <c r="I4" s="151"/>
      <c r="J4" s="103"/>
      <c r="K4" s="103"/>
      <c r="L4" s="103"/>
      <c r="M4" s="103"/>
      <c r="N4" s="389"/>
      <c r="Q4" s="150"/>
      <c r="R4" s="150"/>
      <c r="S4" s="150"/>
    </row>
    <row r="5" spans="1:23" s="150" customFormat="1" ht="16" customHeight="1">
      <c r="B5" s="158" t="s">
        <v>220</v>
      </c>
      <c r="C5" s="154"/>
      <c r="D5" s="103"/>
      <c r="E5" s="529" t="str">
        <f>Instructions!B5</f>
        <v xml:space="preserve">Input Cells are light blue with blue text </v>
      </c>
      <c r="F5" s="529"/>
      <c r="G5" s="529"/>
      <c r="H5" s="390"/>
      <c r="I5" s="151"/>
      <c r="J5" s="144"/>
      <c r="K5" s="144"/>
      <c r="N5" s="390"/>
    </row>
    <row r="6" spans="1:23" s="150" customFormat="1" ht="16" customHeight="1">
      <c r="B6" s="158" t="s">
        <v>57</v>
      </c>
      <c r="C6" s="154"/>
      <c r="D6" s="103"/>
      <c r="E6" s="528" t="str">
        <f>Instructions!B6</f>
        <v>Calculations are black text -  do not overtype</v>
      </c>
      <c r="F6" s="528"/>
      <c r="G6" s="528"/>
      <c r="H6" s="390"/>
      <c r="I6" s="151"/>
      <c r="J6" s="144"/>
      <c r="K6" s="144"/>
      <c r="N6" s="390"/>
    </row>
    <row r="7" spans="1:23" s="150" customFormat="1" ht="16" customHeight="1">
      <c r="B7" s="158" t="s">
        <v>415</v>
      </c>
      <c r="C7" s="156"/>
      <c r="D7" s="103"/>
      <c r="E7" s="530" t="str">
        <f>Instructions!B7</f>
        <v>Calculations are red text - do not overtype</v>
      </c>
      <c r="F7" s="530"/>
      <c r="G7" s="530"/>
      <c r="H7" s="390"/>
      <c r="I7" s="151"/>
      <c r="J7" s="144"/>
      <c r="K7" s="144"/>
      <c r="N7" s="390"/>
      <c r="Q7" s="151"/>
      <c r="R7" s="151"/>
      <c r="S7" s="151"/>
    </row>
    <row r="8" spans="1:23" s="150" customFormat="1" ht="16" customHeight="1">
      <c r="B8" s="158" t="s">
        <v>490</v>
      </c>
      <c r="C8" s="334"/>
      <c r="D8" s="103"/>
      <c r="E8" s="144"/>
      <c r="F8" s="144"/>
      <c r="G8" s="144"/>
      <c r="H8" s="390"/>
      <c r="I8" s="151"/>
      <c r="J8" s="144"/>
      <c r="K8" s="144"/>
      <c r="N8" s="390"/>
      <c r="Q8" s="151"/>
      <c r="R8" s="151"/>
      <c r="S8" s="151"/>
    </row>
    <row r="9" spans="1:23" s="150" customFormat="1" ht="16" customHeight="1">
      <c r="B9" s="158" t="s">
        <v>453</v>
      </c>
      <c r="C9" s="334"/>
      <c r="D9" s="103"/>
      <c r="E9" s="144"/>
      <c r="F9" s="144"/>
      <c r="G9" s="144"/>
      <c r="H9" s="390"/>
      <c r="I9" s="151"/>
      <c r="J9" s="144"/>
      <c r="K9" s="144"/>
      <c r="N9" s="390"/>
      <c r="Q9" s="151"/>
      <c r="R9" s="151"/>
      <c r="S9" s="151"/>
    </row>
    <row r="10" spans="1:23" s="150" customFormat="1" ht="16" customHeight="1">
      <c r="B10" s="158" t="s">
        <v>425</v>
      </c>
      <c r="C10" s="334"/>
      <c r="D10" s="103"/>
      <c r="E10" s="144"/>
      <c r="F10" s="144"/>
      <c r="H10" s="390"/>
      <c r="I10" s="151"/>
      <c r="J10" s="144"/>
      <c r="K10" s="144"/>
      <c r="N10" s="390"/>
      <c r="Q10" s="151"/>
      <c r="R10" s="151"/>
      <c r="S10" s="151"/>
    </row>
    <row r="11" spans="1:23" ht="6.75" customHeight="1">
      <c r="B11" s="152"/>
      <c r="C11" s="153"/>
      <c r="D11" s="333"/>
      <c r="E11" s="151"/>
      <c r="F11" s="150"/>
      <c r="G11" s="150"/>
      <c r="H11" s="391"/>
      <c r="I11" s="150"/>
      <c r="J11" s="150"/>
      <c r="K11" s="150"/>
      <c r="L11" s="150"/>
      <c r="M11" s="150"/>
      <c r="N11" s="391"/>
      <c r="O11" s="150"/>
      <c r="P11" s="150"/>
      <c r="Q11" s="150"/>
      <c r="R11" s="150"/>
      <c r="S11" s="150"/>
    </row>
    <row r="12" spans="1:23" s="35" customFormat="1" ht="30" customHeight="1">
      <c r="B12" s="160"/>
      <c r="C12" s="520" t="s">
        <v>458</v>
      </c>
      <c r="D12" s="521"/>
      <c r="E12" s="521"/>
      <c r="F12" s="521"/>
      <c r="G12" s="522"/>
      <c r="H12" s="392"/>
      <c r="I12" s="523" t="s">
        <v>459</v>
      </c>
      <c r="J12" s="524"/>
      <c r="K12" s="524"/>
      <c r="L12" s="524"/>
      <c r="M12" s="525"/>
      <c r="N12" s="392"/>
      <c r="O12" s="526" t="s">
        <v>460</v>
      </c>
      <c r="P12" s="527"/>
      <c r="Q12" s="527"/>
      <c r="R12" s="527"/>
      <c r="S12" s="527"/>
      <c r="T12" s="23"/>
      <c r="U12" s="161" t="s">
        <v>413</v>
      </c>
      <c r="V12" s="356" t="s">
        <v>412</v>
      </c>
      <c r="W12" s="356" t="s">
        <v>414</v>
      </c>
    </row>
    <row r="13" spans="1:23" s="35" customFormat="1" ht="24.5" customHeight="1">
      <c r="B13" s="167" t="s">
        <v>402</v>
      </c>
      <c r="C13" s="165"/>
      <c r="D13" s="165"/>
      <c r="E13" s="165"/>
      <c r="F13" s="165"/>
      <c r="G13" s="165"/>
      <c r="H13" s="393"/>
      <c r="I13" s="165"/>
      <c r="J13" s="165"/>
      <c r="K13" s="165"/>
      <c r="L13" s="165"/>
      <c r="M13" s="165"/>
      <c r="N13" s="393"/>
      <c r="O13" s="165"/>
      <c r="P13" s="165"/>
      <c r="Q13" s="165"/>
      <c r="R13" s="165"/>
      <c r="S13" s="165"/>
      <c r="T13" s="23"/>
      <c r="U13" s="166"/>
      <c r="V13" s="166"/>
      <c r="W13" s="166"/>
    </row>
    <row r="14" spans="1:23" s="35" customFormat="1" ht="13">
      <c r="B14" s="145"/>
      <c r="C14" s="165"/>
      <c r="D14" s="165"/>
      <c r="E14" s="165"/>
      <c r="F14" s="165"/>
      <c r="G14" s="165"/>
      <c r="H14" s="393"/>
      <c r="I14" s="165"/>
      <c r="J14" s="165"/>
      <c r="K14" s="165"/>
      <c r="L14" s="165"/>
      <c r="M14" s="165"/>
      <c r="N14" s="393"/>
      <c r="O14" s="165"/>
      <c r="P14" s="165"/>
      <c r="Q14" s="165"/>
      <c r="R14" s="165"/>
      <c r="S14" s="165"/>
      <c r="T14" s="23"/>
      <c r="U14" s="166"/>
      <c r="V14" s="166"/>
      <c r="W14" s="166"/>
    </row>
    <row r="15" spans="1:23" s="397" customFormat="1" ht="11.5">
      <c r="B15" s="398" t="s">
        <v>488</v>
      </c>
      <c r="C15" s="399" t="s">
        <v>445</v>
      </c>
      <c r="D15" s="399" t="s">
        <v>445</v>
      </c>
      <c r="E15" s="399" t="s">
        <v>445</v>
      </c>
      <c r="F15" s="399" t="s">
        <v>212</v>
      </c>
      <c r="G15" s="400" t="s">
        <v>212</v>
      </c>
      <c r="H15" s="401"/>
      <c r="I15" s="399" t="s">
        <v>445</v>
      </c>
      <c r="J15" s="399" t="s">
        <v>445</v>
      </c>
      <c r="K15" s="399" t="s">
        <v>445</v>
      </c>
      <c r="L15" s="399" t="s">
        <v>212</v>
      </c>
      <c r="M15" s="400" t="s">
        <v>212</v>
      </c>
      <c r="N15" s="401"/>
      <c r="O15" s="399" t="s">
        <v>445</v>
      </c>
      <c r="P15" s="399" t="s">
        <v>445</v>
      </c>
      <c r="Q15" s="399" t="s">
        <v>445</v>
      </c>
      <c r="R15" s="399" t="s">
        <v>212</v>
      </c>
      <c r="S15" s="400" t="s">
        <v>212</v>
      </c>
      <c r="U15" s="402"/>
      <c r="V15" s="403"/>
      <c r="W15" s="402"/>
    </row>
    <row r="16" spans="1:23" s="397" customFormat="1" ht="11.5">
      <c r="B16" s="404" t="s">
        <v>482</v>
      </c>
      <c r="C16" s="405"/>
      <c r="D16" s="405"/>
      <c r="E16" s="405"/>
      <c r="F16" s="405"/>
      <c r="G16" s="406"/>
      <c r="H16" s="407"/>
      <c r="I16" s="408"/>
      <c r="J16" s="405"/>
      <c r="K16" s="405"/>
      <c r="L16" s="405"/>
      <c r="M16" s="406"/>
      <c r="N16" s="407"/>
      <c r="O16" s="409"/>
      <c r="P16" s="405"/>
      <c r="Q16" s="405"/>
      <c r="R16" s="405"/>
      <c r="S16" s="405"/>
      <c r="U16" s="402"/>
      <c r="V16" s="403"/>
      <c r="W16" s="402"/>
    </row>
    <row r="17" spans="1:25" s="397" customFormat="1" ht="57" customHeight="1">
      <c r="B17" s="404" t="s">
        <v>489</v>
      </c>
      <c r="C17" s="410"/>
      <c r="D17" s="411"/>
      <c r="E17" s="411"/>
      <c r="F17" s="411"/>
      <c r="G17" s="412"/>
      <c r="H17" s="413"/>
      <c r="I17" s="410"/>
      <c r="J17" s="411"/>
      <c r="K17" s="411"/>
      <c r="L17" s="411"/>
      <c r="M17" s="412"/>
      <c r="N17" s="413"/>
      <c r="O17" s="414"/>
      <c r="P17" s="411"/>
      <c r="Q17" s="411"/>
      <c r="R17" s="411"/>
      <c r="S17" s="411"/>
      <c r="U17" s="402"/>
      <c r="V17" s="403"/>
      <c r="W17" s="402"/>
    </row>
    <row r="18" spans="1:25" s="397" customFormat="1" ht="28.5" customHeight="1">
      <c r="B18" s="404" t="s">
        <v>430</v>
      </c>
      <c r="C18" s="340"/>
      <c r="D18" s="337"/>
      <c r="E18" s="337"/>
      <c r="F18" s="337"/>
      <c r="G18" s="357"/>
      <c r="H18" s="394"/>
      <c r="I18" s="340"/>
      <c r="J18" s="337"/>
      <c r="K18" s="337"/>
      <c r="L18" s="337"/>
      <c r="M18" s="357"/>
      <c r="N18" s="394"/>
      <c r="O18" s="358"/>
      <c r="P18" s="337"/>
      <c r="Q18" s="337"/>
      <c r="R18" s="337"/>
      <c r="S18" s="337"/>
      <c r="U18" s="402"/>
      <c r="V18" s="403"/>
      <c r="W18" s="402"/>
    </row>
    <row r="19" spans="1:25" s="397" customFormat="1" ht="11.5">
      <c r="B19" s="404" t="s">
        <v>436</v>
      </c>
      <c r="C19" s="340"/>
      <c r="D19" s="337"/>
      <c r="E19" s="337"/>
      <c r="F19" s="337"/>
      <c r="G19" s="357"/>
      <c r="H19" s="394"/>
      <c r="I19" s="340"/>
      <c r="J19" s="337"/>
      <c r="K19" s="337"/>
      <c r="L19" s="337"/>
      <c r="M19" s="357"/>
      <c r="N19" s="394"/>
      <c r="O19" s="358"/>
      <c r="P19" s="337"/>
      <c r="Q19" s="337"/>
      <c r="R19" s="337"/>
      <c r="S19" s="337"/>
      <c r="U19" s="402"/>
      <c r="V19" s="403"/>
      <c r="W19" s="402"/>
    </row>
    <row r="20" spans="1:25" s="397" customFormat="1" ht="11.5">
      <c r="B20" s="404" t="s">
        <v>1</v>
      </c>
      <c r="C20" s="415"/>
      <c r="D20" s="416"/>
      <c r="E20" s="416"/>
      <c r="F20" s="416"/>
      <c r="G20" s="417"/>
      <c r="H20" s="418"/>
      <c r="I20" s="415"/>
      <c r="J20" s="416"/>
      <c r="K20" s="416"/>
      <c r="L20" s="416"/>
      <c r="M20" s="417"/>
      <c r="N20" s="418"/>
      <c r="O20" s="419"/>
      <c r="P20" s="416"/>
      <c r="Q20" s="416"/>
      <c r="R20" s="416"/>
      <c r="S20" s="416"/>
      <c r="U20" s="402"/>
      <c r="V20" s="403"/>
      <c r="W20" s="402"/>
    </row>
    <row r="21" spans="1:25" s="397" customFormat="1" ht="11.5">
      <c r="B21" s="404" t="s">
        <v>54</v>
      </c>
      <c r="C21" s="420">
        <f>C16*(_xlfn.XLOOKUP(C20,AfC!$CD$71:$CD$83,AfC!$CG$71:$CG$83,0,0,1))</f>
        <v>0</v>
      </c>
      <c r="D21" s="420">
        <f>D16*(_xlfn.XLOOKUP(D20,AfC!$CD$71:$CD$83,AfC!$CG$71:$CG$83,0,0,1))</f>
        <v>0</v>
      </c>
      <c r="E21" s="420">
        <f>E16*(_xlfn.XLOOKUP(E20,AfC!$CD$71:$CD$83,AfC!$CG$71:$CG$83,0,0,1))</f>
        <v>0</v>
      </c>
      <c r="F21" s="420">
        <f>F16*(_xlfn.XLOOKUP(F20,AfC!$CD$71:$CD$83,AfC!$CF$71:$CF$83,0,0,1))</f>
        <v>0</v>
      </c>
      <c r="G21" s="420">
        <f>G16*(_xlfn.XLOOKUP(G20,AfC!$CD$71:$CD$83,AfC!$CF$71:$CF$83,0,0,1))</f>
        <v>0</v>
      </c>
      <c r="H21" s="421"/>
      <c r="I21" s="422">
        <f>I16*(_xlfn.XLOOKUP(I20,AfC!$CD$71:$CD$83,AfC!$CG$71:$CG$83,0,0,1))</f>
        <v>0</v>
      </c>
      <c r="J21" s="420">
        <f>J16*(_xlfn.XLOOKUP(J20,AfC!$CD$71:$CD$83,AfC!$CG$71:$CG$83,0,0,1))</f>
        <v>0</v>
      </c>
      <c r="K21" s="420">
        <f>K16*(_xlfn.XLOOKUP(K20,AfC!$CD$71:$CD$83,AfC!$CG$71:$CG$83,0,0,1))</f>
        <v>0</v>
      </c>
      <c r="L21" s="420">
        <f>L16*(_xlfn.XLOOKUP(L20,AfC!$CD$71:$CD$83,AfC!$CF$71:$CF$83,0,0,1))</f>
        <v>0</v>
      </c>
      <c r="M21" s="420">
        <f>M16*(_xlfn.XLOOKUP(M20,AfC!$CD$71:$CD$83,AfC!$CF$71:$CF$83,0,0,1))</f>
        <v>0</v>
      </c>
      <c r="N21" s="421"/>
      <c r="O21" s="423">
        <f>O16*(_xlfn.XLOOKUP(O20,AfC!$CD$71:$CD$83,AfC!$CG$71:$CG$83,0,0,1))</f>
        <v>0</v>
      </c>
      <c r="P21" s="420">
        <f>P16*(_xlfn.XLOOKUP(P20,AfC!$CD$71:$CD$83,AfC!$CG$71:$CG$83,0,0,1))</f>
        <v>0</v>
      </c>
      <c r="Q21" s="420">
        <f>Q16*(_xlfn.XLOOKUP(Q20,AfC!$CD$71:$CD$83,AfC!$CG$71:$CG$83,0,0,1))</f>
        <v>0</v>
      </c>
      <c r="R21" s="420">
        <f>R16*(_xlfn.XLOOKUP(R20,AfC!$CD$71:$CD$83,AfC!$CF$71:$CF$83,0,0,1))</f>
        <v>0</v>
      </c>
      <c r="S21" s="420">
        <f>S16*(_xlfn.XLOOKUP(S20,AfC!$CD$71:$CD$83,AfC!$CF$71:$CF$83,0,0,1))</f>
        <v>0</v>
      </c>
      <c r="U21" s="424">
        <f>SUM(C21:T21)</f>
        <v>0</v>
      </c>
      <c r="V21" s="424"/>
      <c r="W21" s="424">
        <f>U21</f>
        <v>0</v>
      </c>
    </row>
    <row r="22" spans="1:25" s="397" customFormat="1" ht="11.5">
      <c r="B22" s="404" t="s">
        <v>423</v>
      </c>
      <c r="C22" s="405"/>
      <c r="D22" s="405"/>
      <c r="E22" s="406"/>
      <c r="F22" s="405"/>
      <c r="G22" s="406"/>
      <c r="H22" s="421"/>
      <c r="I22" s="405"/>
      <c r="J22" s="405"/>
      <c r="K22" s="405"/>
      <c r="L22" s="405"/>
      <c r="M22" s="406"/>
      <c r="N22" s="421"/>
      <c r="O22" s="405"/>
      <c r="P22" s="405"/>
      <c r="Q22" s="405"/>
      <c r="R22" s="405"/>
      <c r="S22" s="406"/>
      <c r="U22" s="424">
        <f>SUM(C22:T22)</f>
        <v>0</v>
      </c>
      <c r="V22" s="424"/>
      <c r="W22" s="424">
        <f>U22</f>
        <v>0</v>
      </c>
    </row>
    <row r="23" spans="1:25" s="397" customFormat="1" ht="11.5">
      <c r="A23" s="397" t="s">
        <v>413</v>
      </c>
      <c r="B23" s="425" t="s">
        <v>403</v>
      </c>
      <c r="C23" s="426">
        <f>SUM(C21:C22)</f>
        <v>0</v>
      </c>
      <c r="D23" s="426">
        <f t="shared" ref="D23:S23" si="0">SUM(D21:D22)</f>
        <v>0</v>
      </c>
      <c r="E23" s="426">
        <f t="shared" si="0"/>
        <v>0</v>
      </c>
      <c r="F23" s="426">
        <f t="shared" si="0"/>
        <v>0</v>
      </c>
      <c r="G23" s="515">
        <f t="shared" si="0"/>
        <v>0</v>
      </c>
      <c r="H23" s="428"/>
      <c r="I23" s="429">
        <f t="shared" si="0"/>
        <v>0</v>
      </c>
      <c r="J23" s="426">
        <f t="shared" si="0"/>
        <v>0</v>
      </c>
      <c r="K23" s="426">
        <f t="shared" si="0"/>
        <v>0</v>
      </c>
      <c r="L23" s="426">
        <f t="shared" si="0"/>
        <v>0</v>
      </c>
      <c r="M23" s="426">
        <f t="shared" si="0"/>
        <v>0</v>
      </c>
      <c r="N23" s="428"/>
      <c r="O23" s="426">
        <f t="shared" si="0"/>
        <v>0</v>
      </c>
      <c r="P23" s="426">
        <f t="shared" si="0"/>
        <v>0</v>
      </c>
      <c r="Q23" s="426">
        <f t="shared" si="0"/>
        <v>0</v>
      </c>
      <c r="R23" s="426">
        <f t="shared" si="0"/>
        <v>0</v>
      </c>
      <c r="S23" s="426">
        <f t="shared" si="0"/>
        <v>0</v>
      </c>
      <c r="U23" s="430">
        <f>SUM(U21:U22)</f>
        <v>0</v>
      </c>
      <c r="V23" s="430">
        <f>SUM(V21:V22)</f>
        <v>0</v>
      </c>
      <c r="W23" s="430">
        <f>SUM(W21:W22)</f>
        <v>0</v>
      </c>
    </row>
    <row r="24" spans="1:25" s="397" customFormat="1" ht="11.5">
      <c r="B24" s="431"/>
      <c r="C24" s="432"/>
      <c r="D24" s="432"/>
      <c r="E24" s="432"/>
      <c r="F24" s="432"/>
      <c r="G24" s="432"/>
      <c r="H24" s="433"/>
      <c r="I24" s="432"/>
      <c r="J24" s="432"/>
      <c r="K24" s="432"/>
      <c r="L24" s="432"/>
      <c r="M24" s="432"/>
      <c r="N24" s="433"/>
      <c r="O24" s="434"/>
      <c r="P24" s="432"/>
      <c r="Q24" s="432"/>
      <c r="R24" s="432"/>
      <c r="S24" s="432"/>
      <c r="T24" s="432"/>
      <c r="U24" s="432"/>
      <c r="V24" s="432"/>
      <c r="W24" s="432"/>
      <c r="X24" s="432"/>
      <c r="Y24" s="432"/>
    </row>
    <row r="25" spans="1:25" s="397" customFormat="1" ht="11.5">
      <c r="B25" s="398" t="s">
        <v>457</v>
      </c>
      <c r="C25" s="399" t="s">
        <v>445</v>
      </c>
      <c r="D25" s="399" t="s">
        <v>445</v>
      </c>
      <c r="E25" s="399" t="s">
        <v>445</v>
      </c>
      <c r="F25" s="399" t="s">
        <v>212</v>
      </c>
      <c r="G25" s="400" t="s">
        <v>212</v>
      </c>
      <c r="H25" s="401"/>
      <c r="I25" s="399" t="s">
        <v>445</v>
      </c>
      <c r="J25" s="399" t="s">
        <v>445</v>
      </c>
      <c r="K25" s="399" t="s">
        <v>445</v>
      </c>
      <c r="L25" s="399" t="s">
        <v>212</v>
      </c>
      <c r="M25" s="400" t="s">
        <v>212</v>
      </c>
      <c r="N25" s="401"/>
      <c r="O25" s="399" t="s">
        <v>445</v>
      </c>
      <c r="P25" s="399" t="s">
        <v>445</v>
      </c>
      <c r="Q25" s="399" t="s">
        <v>445</v>
      </c>
      <c r="R25" s="399" t="s">
        <v>212</v>
      </c>
      <c r="S25" s="400" t="s">
        <v>212</v>
      </c>
      <c r="U25" s="435" t="s">
        <v>413</v>
      </c>
      <c r="V25" s="436" t="s">
        <v>412</v>
      </c>
      <c r="W25" s="436" t="s">
        <v>414</v>
      </c>
    </row>
    <row r="26" spans="1:25" s="397" customFormat="1" ht="11.5">
      <c r="B26" s="404" t="s">
        <v>482</v>
      </c>
      <c r="C26" s="405"/>
      <c r="D26" s="405"/>
      <c r="E26" s="405"/>
      <c r="F26" s="405"/>
      <c r="G26" s="406"/>
      <c r="H26" s="407"/>
      <c r="I26" s="408"/>
      <c r="J26" s="405">
        <v>0</v>
      </c>
      <c r="K26" s="405"/>
      <c r="L26" s="405"/>
      <c r="M26" s="406"/>
      <c r="N26" s="407"/>
      <c r="O26" s="409"/>
      <c r="P26" s="405"/>
      <c r="Q26" s="405"/>
      <c r="R26" s="405"/>
      <c r="S26" s="405"/>
      <c r="U26" s="403"/>
      <c r="V26" s="403"/>
      <c r="W26" s="403"/>
    </row>
    <row r="27" spans="1:25" s="397" customFormat="1" ht="11.5">
      <c r="B27" s="404" t="s">
        <v>489</v>
      </c>
      <c r="C27" s="410"/>
      <c r="D27" s="411"/>
      <c r="E27" s="411"/>
      <c r="F27" s="411"/>
      <c r="G27" s="412"/>
      <c r="H27" s="413"/>
      <c r="I27" s="410"/>
      <c r="J27" s="411"/>
      <c r="K27" s="411"/>
      <c r="L27" s="411"/>
      <c r="M27" s="412"/>
      <c r="N27" s="413"/>
      <c r="O27" s="414"/>
      <c r="P27" s="411"/>
      <c r="Q27" s="411"/>
      <c r="R27" s="411"/>
      <c r="S27" s="411"/>
      <c r="U27" s="402"/>
      <c r="V27" s="403"/>
      <c r="W27" s="402"/>
    </row>
    <row r="28" spans="1:25" s="397" customFormat="1" ht="25.5" customHeight="1">
      <c r="B28" s="404" t="s">
        <v>430</v>
      </c>
      <c r="C28" s="340"/>
      <c r="D28" s="337"/>
      <c r="E28" s="337"/>
      <c r="F28" s="337"/>
      <c r="G28" s="357"/>
      <c r="H28" s="394"/>
      <c r="I28" s="340"/>
      <c r="J28" s="337"/>
      <c r="K28" s="337"/>
      <c r="L28" s="337"/>
      <c r="M28" s="357"/>
      <c r="N28" s="394"/>
      <c r="O28" s="358"/>
      <c r="P28" s="337"/>
      <c r="Q28" s="337"/>
      <c r="R28" s="337"/>
      <c r="S28" s="337"/>
      <c r="U28" s="403"/>
      <c r="V28" s="403"/>
      <c r="W28" s="403"/>
    </row>
    <row r="29" spans="1:25" s="397" customFormat="1" ht="11.5">
      <c r="B29" s="404" t="s">
        <v>436</v>
      </c>
      <c r="C29" s="340"/>
      <c r="D29" s="337"/>
      <c r="E29" s="337"/>
      <c r="F29" s="337"/>
      <c r="G29" s="357"/>
      <c r="H29" s="394"/>
      <c r="I29" s="340"/>
      <c r="J29" s="337"/>
      <c r="K29" s="337"/>
      <c r="L29" s="337"/>
      <c r="M29" s="357"/>
      <c r="N29" s="394"/>
      <c r="O29" s="358"/>
      <c r="P29" s="337"/>
      <c r="Q29" s="337"/>
      <c r="R29" s="337"/>
      <c r="S29" s="337"/>
      <c r="U29" s="402"/>
      <c r="V29" s="403"/>
      <c r="W29" s="402"/>
    </row>
    <row r="30" spans="1:25" s="397" customFormat="1" ht="11.5">
      <c r="B30" s="404" t="s">
        <v>1</v>
      </c>
      <c r="C30" s="415"/>
      <c r="D30" s="416"/>
      <c r="E30" s="416"/>
      <c r="F30" s="416"/>
      <c r="G30" s="417"/>
      <c r="H30" s="418"/>
      <c r="I30" s="415"/>
      <c r="J30" s="416"/>
      <c r="K30" s="416"/>
      <c r="L30" s="416"/>
      <c r="M30" s="417"/>
      <c r="N30" s="418"/>
      <c r="O30" s="419"/>
      <c r="P30" s="416"/>
      <c r="Q30" s="416"/>
      <c r="R30" s="416"/>
      <c r="S30" s="416"/>
      <c r="U30" s="403"/>
      <c r="V30" s="403"/>
      <c r="W30" s="403"/>
    </row>
    <row r="31" spans="1:25" s="397" customFormat="1" ht="11.5">
      <c r="B31" s="404" t="s">
        <v>54</v>
      </c>
      <c r="C31" s="420">
        <f>C26*(_xlfn.XLOOKUP(C30,AfC!$CD$71:$CD$83,AfC!$CG$71:$CG$83,0,0,1))</f>
        <v>0</v>
      </c>
      <c r="D31" s="420">
        <f>D26*(_xlfn.XLOOKUP(D30,AfC!$CD$71:$CD$83,AfC!$CG$71:$CG$83,0,0,1))</f>
        <v>0</v>
      </c>
      <c r="E31" s="420">
        <f>E26*(_xlfn.XLOOKUP(E30,AfC!$CD$71:$CD$83,AfC!$CG$71:$CG$83,0,0,1))</f>
        <v>0</v>
      </c>
      <c r="F31" s="420">
        <f>F26*(_xlfn.XLOOKUP(F30,AfC!$CD$71:$CD$83,AfC!$CF$71:$CF$83,0,0,1))</f>
        <v>0</v>
      </c>
      <c r="G31" s="420"/>
      <c r="H31" s="421"/>
      <c r="I31" s="422">
        <f>I26*(_xlfn.XLOOKUP(I30,AfC!$CD$71:$CD$83,AfC!$CG$71:$CG$83,0,0,1))</f>
        <v>0</v>
      </c>
      <c r="J31" s="420">
        <f>J26*(_xlfn.XLOOKUP(J30,AfC!$CD$71:$CD$83,AfC!$CG$71:$CG$83,0,0,1))</f>
        <v>0</v>
      </c>
      <c r="K31" s="420">
        <f>K26*(_xlfn.XLOOKUP(K30,AfC!$CD$71:$CD$83,AfC!$CG$71:$CG$83,0,0,1))</f>
        <v>0</v>
      </c>
      <c r="L31" s="420">
        <f>L26*(_xlfn.XLOOKUP(L30,AfC!$CD$71:$CD$83,AfC!$CF$71:$CF$83,0,0,1))</f>
        <v>0</v>
      </c>
      <c r="M31" s="420"/>
      <c r="N31" s="421"/>
      <c r="O31" s="423">
        <f>O26*(_xlfn.XLOOKUP(O30,AfC!$CD$71:$CD$83,AfC!$CG$71:$CG$83,0,0,1))</f>
        <v>0</v>
      </c>
      <c r="P31" s="420">
        <f>P26*(_xlfn.XLOOKUP(P30,AfC!$CD$71:$CD$83,AfC!$CG$71:$CG$83,0,0,1))</f>
        <v>0</v>
      </c>
      <c r="Q31" s="420">
        <f>Q26*(_xlfn.XLOOKUP(Q30,AfC!$CD$71:$CD$83,AfC!$CG$71:$CG$83,0,0,1))</f>
        <v>0</v>
      </c>
      <c r="R31" s="420">
        <f>R26*(_xlfn.XLOOKUP(R30,AfC!$CD$71:$CD$83,AfC!$CF$71:$CF$83,0,0,1))</f>
        <v>0</v>
      </c>
      <c r="S31" s="420"/>
      <c r="U31" s="403"/>
      <c r="V31" s="424">
        <f>SUM(C31:S31)</f>
        <v>0</v>
      </c>
      <c r="W31" s="424">
        <f>V31</f>
        <v>0</v>
      </c>
    </row>
    <row r="32" spans="1:25" s="397" customFormat="1" ht="11.5">
      <c r="B32" s="404" t="s">
        <v>424</v>
      </c>
      <c r="C32" s="405"/>
      <c r="D32" s="405"/>
      <c r="E32" s="406"/>
      <c r="F32" s="405"/>
      <c r="G32" s="406"/>
      <c r="H32" s="421"/>
      <c r="I32" s="405"/>
      <c r="J32" s="405"/>
      <c r="K32" s="406"/>
      <c r="L32" s="405"/>
      <c r="M32" s="406"/>
      <c r="N32" s="421"/>
      <c r="O32" s="405"/>
      <c r="P32" s="405"/>
      <c r="Q32" s="406"/>
      <c r="R32" s="405"/>
      <c r="S32" s="406"/>
      <c r="U32" s="403"/>
      <c r="V32" s="424">
        <f>SUM(C32:S32)</f>
        <v>0</v>
      </c>
      <c r="W32" s="424">
        <f>V32</f>
        <v>0</v>
      </c>
    </row>
    <row r="33" spans="1:23" s="397" customFormat="1" ht="11.5">
      <c r="A33" s="397" t="s">
        <v>412</v>
      </c>
      <c r="B33" s="425" t="s">
        <v>403</v>
      </c>
      <c r="C33" s="426">
        <f>SUM(C31:C32)</f>
        <v>0</v>
      </c>
      <c r="D33" s="426">
        <f t="shared" ref="D33:S33" si="1">SUM(D31:D32)</f>
        <v>0</v>
      </c>
      <c r="E33" s="426">
        <f t="shared" si="1"/>
        <v>0</v>
      </c>
      <c r="F33" s="426">
        <f t="shared" si="1"/>
        <v>0</v>
      </c>
      <c r="G33" s="427">
        <f t="shared" si="1"/>
        <v>0</v>
      </c>
      <c r="H33" s="428"/>
      <c r="I33" s="429">
        <f t="shared" si="1"/>
        <v>0</v>
      </c>
      <c r="J33" s="426">
        <f t="shared" si="1"/>
        <v>0</v>
      </c>
      <c r="K33" s="426">
        <f t="shared" si="1"/>
        <v>0</v>
      </c>
      <c r="L33" s="426">
        <f t="shared" si="1"/>
        <v>0</v>
      </c>
      <c r="M33" s="426">
        <f t="shared" si="1"/>
        <v>0</v>
      </c>
      <c r="N33" s="428"/>
      <c r="O33" s="426">
        <f t="shared" si="1"/>
        <v>0</v>
      </c>
      <c r="P33" s="426">
        <f t="shared" si="1"/>
        <v>0</v>
      </c>
      <c r="Q33" s="426">
        <f t="shared" si="1"/>
        <v>0</v>
      </c>
      <c r="R33" s="426">
        <f t="shared" si="1"/>
        <v>0</v>
      </c>
      <c r="S33" s="426">
        <f t="shared" si="1"/>
        <v>0</v>
      </c>
      <c r="U33" s="437"/>
      <c r="V33" s="430">
        <f>SUM(C33:S33)</f>
        <v>0</v>
      </c>
      <c r="W33" s="430">
        <f>SUM(W31:W32)</f>
        <v>0</v>
      </c>
    </row>
    <row r="34" spans="1:23" s="397" customFormat="1" ht="11.5">
      <c r="B34" s="438"/>
      <c r="C34" s="439"/>
      <c r="D34" s="439"/>
      <c r="E34" s="440"/>
      <c r="F34" s="441"/>
      <c r="G34" s="441"/>
      <c r="H34" s="442"/>
      <c r="I34" s="443"/>
      <c r="J34" s="443"/>
      <c r="K34" s="443"/>
      <c r="L34" s="444"/>
      <c r="M34" s="444"/>
      <c r="N34" s="442"/>
      <c r="O34" s="445"/>
      <c r="P34" s="446"/>
      <c r="Q34" s="446"/>
      <c r="R34" s="446"/>
      <c r="S34" s="446"/>
      <c r="U34" s="446"/>
      <c r="V34" s="446"/>
      <c r="W34" s="446"/>
    </row>
    <row r="35" spans="1:23" s="397" customFormat="1" ht="24.5" customHeight="1">
      <c r="B35" s="447" t="s">
        <v>42</v>
      </c>
      <c r="C35" s="448" t="s">
        <v>46</v>
      </c>
      <c r="D35" s="449" t="s">
        <v>43</v>
      </c>
      <c r="E35" s="484" t="s">
        <v>517</v>
      </c>
      <c r="F35" s="450" t="s">
        <v>404</v>
      </c>
      <c r="G35" s="451" t="s">
        <v>45</v>
      </c>
      <c r="H35" s="452"/>
      <c r="I35" s="453" t="s">
        <v>46</v>
      </c>
      <c r="J35" s="449" t="s">
        <v>43</v>
      </c>
      <c r="K35" s="484" t="s">
        <v>517</v>
      </c>
      <c r="L35" s="450" t="s">
        <v>404</v>
      </c>
      <c r="M35" s="451" t="s">
        <v>45</v>
      </c>
      <c r="N35" s="452"/>
      <c r="O35" s="448" t="s">
        <v>46</v>
      </c>
      <c r="P35" s="449" t="s">
        <v>43</v>
      </c>
      <c r="Q35" s="484" t="s">
        <v>517</v>
      </c>
      <c r="R35" s="450" t="s">
        <v>404</v>
      </c>
      <c r="S35" s="454" t="s">
        <v>45</v>
      </c>
      <c r="U35" s="435" t="s">
        <v>413</v>
      </c>
      <c r="V35" s="436" t="s">
        <v>412</v>
      </c>
      <c r="W35" s="436" t="s">
        <v>414</v>
      </c>
    </row>
    <row r="36" spans="1:23" s="397" customFormat="1" ht="11.5">
      <c r="B36" s="455" t="s">
        <v>58</v>
      </c>
      <c r="C36" s="456"/>
      <c r="D36" s="457"/>
      <c r="E36" s="458">
        <v>0</v>
      </c>
      <c r="F36" s="459">
        <v>0</v>
      </c>
      <c r="G36" s="460">
        <f>F36*E36</f>
        <v>0</v>
      </c>
      <c r="H36" s="461"/>
      <c r="I36" s="462"/>
      <c r="J36" s="457"/>
      <c r="K36" s="458">
        <v>0</v>
      </c>
      <c r="L36" s="459">
        <v>0</v>
      </c>
      <c r="M36" s="460">
        <f>L36*K36</f>
        <v>0</v>
      </c>
      <c r="N36" s="461"/>
      <c r="O36" s="456"/>
      <c r="P36" s="457"/>
      <c r="Q36" s="458">
        <v>0</v>
      </c>
      <c r="R36" s="459"/>
      <c r="S36" s="463">
        <f>R36*Q36</f>
        <v>0</v>
      </c>
      <c r="T36" s="464"/>
      <c r="U36" s="465"/>
      <c r="V36" s="465">
        <f>SUM(S36+M36+G36)</f>
        <v>0</v>
      </c>
      <c r="W36" s="466">
        <f>V36</f>
        <v>0</v>
      </c>
    </row>
    <row r="37" spans="1:23" s="397" customFormat="1" ht="11.5">
      <c r="B37" s="455" t="s">
        <v>59</v>
      </c>
      <c r="C37" s="456"/>
      <c r="D37" s="457"/>
      <c r="E37" s="458">
        <v>0</v>
      </c>
      <c r="F37" s="459">
        <v>0</v>
      </c>
      <c r="G37" s="460">
        <f>F37*E37</f>
        <v>0</v>
      </c>
      <c r="H37" s="461"/>
      <c r="I37" s="462"/>
      <c r="J37" s="457"/>
      <c r="K37" s="458">
        <v>0</v>
      </c>
      <c r="L37" s="459">
        <v>0</v>
      </c>
      <c r="M37" s="460">
        <f>L37*K37</f>
        <v>0</v>
      </c>
      <c r="N37" s="461"/>
      <c r="O37" s="456"/>
      <c r="P37" s="457"/>
      <c r="Q37" s="458">
        <v>0</v>
      </c>
      <c r="R37" s="459"/>
      <c r="S37" s="463">
        <f>R37*Q37</f>
        <v>0</v>
      </c>
      <c r="T37" s="464"/>
      <c r="U37" s="465"/>
      <c r="V37" s="465">
        <f t="shared" ref="V37:V58" si="2">SUM(S37+M37+G37)</f>
        <v>0</v>
      </c>
      <c r="W37" s="466">
        <f t="shared" ref="W37:W58" si="3">V37</f>
        <v>0</v>
      </c>
    </row>
    <row r="38" spans="1:23" s="397" customFormat="1" ht="11.5">
      <c r="B38" s="455" t="s">
        <v>248</v>
      </c>
      <c r="C38" s="456"/>
      <c r="D38" s="457"/>
      <c r="E38" s="458">
        <v>0</v>
      </c>
      <c r="F38" s="459">
        <v>0</v>
      </c>
      <c r="G38" s="460">
        <f>F38*E38</f>
        <v>0</v>
      </c>
      <c r="H38" s="461"/>
      <c r="I38" s="462"/>
      <c r="J38" s="457"/>
      <c r="K38" s="458">
        <v>0</v>
      </c>
      <c r="L38" s="459">
        <v>0</v>
      </c>
      <c r="M38" s="460">
        <f>L38*K38</f>
        <v>0</v>
      </c>
      <c r="N38" s="461"/>
      <c r="O38" s="456"/>
      <c r="P38" s="457"/>
      <c r="Q38" s="458">
        <v>0</v>
      </c>
      <c r="R38" s="459"/>
      <c r="S38" s="463">
        <f>R38*Q38</f>
        <v>0</v>
      </c>
      <c r="T38" s="464"/>
      <c r="U38" s="465"/>
      <c r="V38" s="465">
        <f t="shared" si="2"/>
        <v>0</v>
      </c>
      <c r="W38" s="466">
        <f t="shared" si="3"/>
        <v>0</v>
      </c>
    </row>
    <row r="39" spans="1:23" s="397" customFormat="1" ht="11.5">
      <c r="B39" s="455" t="s">
        <v>249</v>
      </c>
      <c r="C39" s="456"/>
      <c r="D39" s="457"/>
      <c r="E39" s="458">
        <v>0</v>
      </c>
      <c r="F39" s="459">
        <v>0</v>
      </c>
      <c r="G39" s="460">
        <f>F39*E39</f>
        <v>0</v>
      </c>
      <c r="H39" s="461"/>
      <c r="I39" s="462"/>
      <c r="J39" s="457"/>
      <c r="K39" s="458">
        <v>0</v>
      </c>
      <c r="L39" s="459">
        <v>0</v>
      </c>
      <c r="M39" s="460">
        <f>L39*K39</f>
        <v>0</v>
      </c>
      <c r="N39" s="461"/>
      <c r="O39" s="456"/>
      <c r="P39" s="457"/>
      <c r="Q39" s="458">
        <v>0</v>
      </c>
      <c r="R39" s="459"/>
      <c r="S39" s="463">
        <f>R39*Q39</f>
        <v>0</v>
      </c>
      <c r="T39" s="464"/>
      <c r="U39" s="465"/>
      <c r="V39" s="465">
        <f t="shared" si="2"/>
        <v>0</v>
      </c>
      <c r="W39" s="466">
        <f t="shared" si="3"/>
        <v>0</v>
      </c>
    </row>
    <row r="40" spans="1:23" s="397" customFormat="1" ht="11.5">
      <c r="B40" s="455" t="s">
        <v>250</v>
      </c>
      <c r="C40" s="456"/>
      <c r="D40" s="457"/>
      <c r="E40" s="458">
        <v>0</v>
      </c>
      <c r="F40" s="459">
        <v>0</v>
      </c>
      <c r="G40" s="460">
        <f>F40*E40</f>
        <v>0</v>
      </c>
      <c r="H40" s="461"/>
      <c r="I40" s="462"/>
      <c r="J40" s="457"/>
      <c r="K40" s="458">
        <v>0</v>
      </c>
      <c r="L40" s="459">
        <v>0</v>
      </c>
      <c r="M40" s="460">
        <f>L40*K40</f>
        <v>0</v>
      </c>
      <c r="N40" s="461"/>
      <c r="O40" s="456"/>
      <c r="P40" s="457"/>
      <c r="Q40" s="458">
        <v>0</v>
      </c>
      <c r="R40" s="459"/>
      <c r="S40" s="463">
        <f>R40*Q40</f>
        <v>0</v>
      </c>
      <c r="T40" s="464"/>
      <c r="U40" s="465"/>
      <c r="V40" s="465">
        <f t="shared" si="2"/>
        <v>0</v>
      </c>
      <c r="W40" s="466">
        <f t="shared" si="3"/>
        <v>0</v>
      </c>
    </row>
    <row r="41" spans="1:23" s="397" customFormat="1" ht="11.5" hidden="1" outlineLevel="1">
      <c r="B41" s="455" t="s">
        <v>406</v>
      </c>
      <c r="C41" s="456"/>
      <c r="D41" s="457"/>
      <c r="E41" s="458">
        <v>0</v>
      </c>
      <c r="F41" s="459"/>
      <c r="G41" s="460">
        <f t="shared" ref="G41:G58" si="4">F41*E41</f>
        <v>0</v>
      </c>
      <c r="H41" s="461"/>
      <c r="I41" s="462"/>
      <c r="J41" s="457"/>
      <c r="K41" s="458">
        <v>0</v>
      </c>
      <c r="L41" s="459"/>
      <c r="M41" s="460">
        <f t="shared" ref="M41:M58" si="5">L41*K41</f>
        <v>0</v>
      </c>
      <c r="N41" s="461"/>
      <c r="O41" s="456"/>
      <c r="P41" s="457"/>
      <c r="Q41" s="458">
        <v>0</v>
      </c>
      <c r="R41" s="459"/>
      <c r="S41" s="463">
        <f t="shared" ref="S41:S58" si="6">R41*Q41</f>
        <v>0</v>
      </c>
      <c r="T41" s="464"/>
      <c r="U41" s="465"/>
      <c r="V41" s="465">
        <f t="shared" si="2"/>
        <v>0</v>
      </c>
      <c r="W41" s="466">
        <f t="shared" si="3"/>
        <v>0</v>
      </c>
    </row>
    <row r="42" spans="1:23" s="397" customFormat="1" ht="11.5" hidden="1" outlineLevel="1">
      <c r="B42" s="455" t="s">
        <v>407</v>
      </c>
      <c r="C42" s="456"/>
      <c r="D42" s="457"/>
      <c r="E42" s="458">
        <v>0</v>
      </c>
      <c r="F42" s="459"/>
      <c r="G42" s="460">
        <f t="shared" si="4"/>
        <v>0</v>
      </c>
      <c r="H42" s="461"/>
      <c r="I42" s="462"/>
      <c r="J42" s="457"/>
      <c r="K42" s="458">
        <v>0</v>
      </c>
      <c r="L42" s="459"/>
      <c r="M42" s="460">
        <f t="shared" si="5"/>
        <v>0</v>
      </c>
      <c r="N42" s="461"/>
      <c r="O42" s="456"/>
      <c r="P42" s="457"/>
      <c r="Q42" s="458">
        <v>0</v>
      </c>
      <c r="R42" s="459"/>
      <c r="S42" s="463">
        <f t="shared" si="6"/>
        <v>0</v>
      </c>
      <c r="T42" s="464"/>
      <c r="U42" s="465"/>
      <c r="V42" s="465">
        <f t="shared" si="2"/>
        <v>0</v>
      </c>
      <c r="W42" s="466">
        <f t="shared" si="3"/>
        <v>0</v>
      </c>
    </row>
    <row r="43" spans="1:23" s="397" customFormat="1" ht="11.5" hidden="1" outlineLevel="1">
      <c r="B43" s="455" t="s">
        <v>408</v>
      </c>
      <c r="C43" s="456"/>
      <c r="D43" s="467"/>
      <c r="E43" s="458">
        <v>0</v>
      </c>
      <c r="F43" s="459"/>
      <c r="G43" s="460">
        <f t="shared" si="4"/>
        <v>0</v>
      </c>
      <c r="H43" s="461"/>
      <c r="I43" s="462"/>
      <c r="J43" s="467"/>
      <c r="K43" s="458">
        <v>0</v>
      </c>
      <c r="L43" s="459"/>
      <c r="M43" s="460">
        <f t="shared" si="5"/>
        <v>0</v>
      </c>
      <c r="N43" s="461"/>
      <c r="O43" s="456"/>
      <c r="P43" s="467"/>
      <c r="Q43" s="458">
        <v>0</v>
      </c>
      <c r="R43" s="459"/>
      <c r="S43" s="463">
        <f t="shared" si="6"/>
        <v>0</v>
      </c>
      <c r="T43" s="464"/>
      <c r="U43" s="465"/>
      <c r="V43" s="465">
        <f t="shared" si="2"/>
        <v>0</v>
      </c>
      <c r="W43" s="466">
        <f t="shared" si="3"/>
        <v>0</v>
      </c>
    </row>
    <row r="44" spans="1:23" s="397" customFormat="1" ht="11.5" hidden="1" outlineLevel="1">
      <c r="B44" s="455" t="s">
        <v>409</v>
      </c>
      <c r="C44" s="456"/>
      <c r="D44" s="457"/>
      <c r="E44" s="458">
        <v>0</v>
      </c>
      <c r="F44" s="459"/>
      <c r="G44" s="460">
        <f t="shared" si="4"/>
        <v>0</v>
      </c>
      <c r="H44" s="461"/>
      <c r="I44" s="462"/>
      <c r="J44" s="457"/>
      <c r="K44" s="458">
        <v>0</v>
      </c>
      <c r="L44" s="459"/>
      <c r="M44" s="460">
        <f t="shared" si="5"/>
        <v>0</v>
      </c>
      <c r="N44" s="461"/>
      <c r="O44" s="456"/>
      <c r="P44" s="457"/>
      <c r="Q44" s="458">
        <v>0</v>
      </c>
      <c r="R44" s="459"/>
      <c r="S44" s="463">
        <f t="shared" si="6"/>
        <v>0</v>
      </c>
      <c r="T44" s="464"/>
      <c r="U44" s="465"/>
      <c r="V44" s="465">
        <f t="shared" si="2"/>
        <v>0</v>
      </c>
      <c r="W44" s="466">
        <f t="shared" si="3"/>
        <v>0</v>
      </c>
    </row>
    <row r="45" spans="1:23" s="397" customFormat="1" ht="11.5" hidden="1" outlineLevel="1">
      <c r="B45" s="455" t="s">
        <v>410</v>
      </c>
      <c r="C45" s="456"/>
      <c r="D45" s="457"/>
      <c r="E45" s="458">
        <v>0</v>
      </c>
      <c r="F45" s="459"/>
      <c r="G45" s="460">
        <f t="shared" si="4"/>
        <v>0</v>
      </c>
      <c r="H45" s="461"/>
      <c r="I45" s="462"/>
      <c r="J45" s="457"/>
      <c r="K45" s="458">
        <v>0</v>
      </c>
      <c r="L45" s="459"/>
      <c r="M45" s="460">
        <f t="shared" si="5"/>
        <v>0</v>
      </c>
      <c r="N45" s="461"/>
      <c r="O45" s="456"/>
      <c r="P45" s="457"/>
      <c r="Q45" s="458">
        <v>0</v>
      </c>
      <c r="R45" s="459"/>
      <c r="S45" s="463">
        <f t="shared" si="6"/>
        <v>0</v>
      </c>
      <c r="T45" s="464"/>
      <c r="U45" s="465"/>
      <c r="V45" s="465">
        <f t="shared" si="2"/>
        <v>0</v>
      </c>
      <c r="W45" s="466">
        <f t="shared" si="3"/>
        <v>0</v>
      </c>
    </row>
    <row r="46" spans="1:23" s="397" customFormat="1" ht="11.5" collapsed="1">
      <c r="B46" s="455" t="s">
        <v>507</v>
      </c>
      <c r="C46" s="456"/>
      <c r="D46" s="457"/>
      <c r="E46" s="458">
        <v>0</v>
      </c>
      <c r="F46" s="459"/>
      <c r="G46" s="460">
        <f t="shared" si="4"/>
        <v>0</v>
      </c>
      <c r="H46" s="461"/>
      <c r="I46" s="462"/>
      <c r="J46" s="457"/>
      <c r="K46" s="458">
        <v>0</v>
      </c>
      <c r="L46" s="459"/>
      <c r="M46" s="460">
        <f t="shared" si="5"/>
        <v>0</v>
      </c>
      <c r="N46" s="461"/>
      <c r="O46" s="456"/>
      <c r="P46" s="457"/>
      <c r="Q46" s="458">
        <v>0</v>
      </c>
      <c r="R46" s="459"/>
      <c r="S46" s="463">
        <f t="shared" si="6"/>
        <v>0</v>
      </c>
      <c r="T46" s="464"/>
      <c r="U46" s="465"/>
      <c r="V46" s="465">
        <f t="shared" si="2"/>
        <v>0</v>
      </c>
      <c r="W46" s="466">
        <f t="shared" si="3"/>
        <v>0</v>
      </c>
    </row>
    <row r="47" spans="1:23" s="397" customFormat="1" ht="11.5">
      <c r="B47" s="455" t="s">
        <v>508</v>
      </c>
      <c r="C47" s="456"/>
      <c r="D47" s="457"/>
      <c r="E47" s="458">
        <v>0</v>
      </c>
      <c r="F47" s="459"/>
      <c r="G47" s="460">
        <f t="shared" ref="G47:G52" si="7">F47*E47</f>
        <v>0</v>
      </c>
      <c r="H47" s="461"/>
      <c r="I47" s="462"/>
      <c r="J47" s="457"/>
      <c r="K47" s="458">
        <v>0</v>
      </c>
      <c r="L47" s="459"/>
      <c r="M47" s="460">
        <f t="shared" ref="M47:M52" si="8">L47*K47</f>
        <v>0</v>
      </c>
      <c r="N47" s="461"/>
      <c r="O47" s="456"/>
      <c r="P47" s="457"/>
      <c r="Q47" s="458">
        <v>0</v>
      </c>
      <c r="R47" s="459"/>
      <c r="S47" s="463">
        <f t="shared" ref="S47:S52" si="9">R47*Q47</f>
        <v>0</v>
      </c>
      <c r="T47" s="464"/>
      <c r="U47" s="465"/>
      <c r="V47" s="465">
        <f t="shared" ref="V47:V52" si="10">SUM(S47+M47+G47)</f>
        <v>0</v>
      </c>
      <c r="W47" s="466">
        <f t="shared" ref="W47:W52" si="11">V47</f>
        <v>0</v>
      </c>
    </row>
    <row r="48" spans="1:23" s="397" customFormat="1" ht="11.5">
      <c r="B48" s="455" t="s">
        <v>509</v>
      </c>
      <c r="C48" s="456"/>
      <c r="D48" s="457"/>
      <c r="E48" s="458">
        <v>0</v>
      </c>
      <c r="F48" s="459"/>
      <c r="G48" s="460">
        <f t="shared" si="7"/>
        <v>0</v>
      </c>
      <c r="H48" s="461"/>
      <c r="I48" s="462"/>
      <c r="J48" s="457"/>
      <c r="K48" s="458">
        <v>0</v>
      </c>
      <c r="L48" s="459"/>
      <c r="M48" s="460">
        <f t="shared" si="8"/>
        <v>0</v>
      </c>
      <c r="N48" s="461"/>
      <c r="O48" s="456"/>
      <c r="P48" s="457"/>
      <c r="Q48" s="458">
        <v>0</v>
      </c>
      <c r="R48" s="459"/>
      <c r="S48" s="463">
        <f t="shared" si="9"/>
        <v>0</v>
      </c>
      <c r="T48" s="464"/>
      <c r="U48" s="465"/>
      <c r="V48" s="465">
        <f t="shared" si="10"/>
        <v>0</v>
      </c>
      <c r="W48" s="466">
        <f t="shared" si="11"/>
        <v>0</v>
      </c>
    </row>
    <row r="49" spans="1:23" s="397" customFormat="1" ht="11.5">
      <c r="B49" s="455" t="s">
        <v>510</v>
      </c>
      <c r="C49" s="456"/>
      <c r="D49" s="457"/>
      <c r="E49" s="458">
        <v>0</v>
      </c>
      <c r="F49" s="459"/>
      <c r="G49" s="460">
        <f t="shared" si="7"/>
        <v>0</v>
      </c>
      <c r="H49" s="461"/>
      <c r="I49" s="462"/>
      <c r="J49" s="457"/>
      <c r="K49" s="458">
        <v>0</v>
      </c>
      <c r="L49" s="459"/>
      <c r="M49" s="460">
        <f t="shared" si="8"/>
        <v>0</v>
      </c>
      <c r="N49" s="461"/>
      <c r="O49" s="456"/>
      <c r="P49" s="457"/>
      <c r="Q49" s="458">
        <v>0</v>
      </c>
      <c r="R49" s="459"/>
      <c r="S49" s="463">
        <f t="shared" si="9"/>
        <v>0</v>
      </c>
      <c r="T49" s="464"/>
      <c r="U49" s="465"/>
      <c r="V49" s="465">
        <f t="shared" si="10"/>
        <v>0</v>
      </c>
      <c r="W49" s="466">
        <f t="shared" si="11"/>
        <v>0</v>
      </c>
    </row>
    <row r="50" spans="1:23" s="397" customFormat="1" ht="11.5">
      <c r="B50" s="455" t="s">
        <v>511</v>
      </c>
      <c r="C50" s="456"/>
      <c r="D50" s="457"/>
      <c r="E50" s="458">
        <v>0</v>
      </c>
      <c r="F50" s="459"/>
      <c r="G50" s="460">
        <f t="shared" si="7"/>
        <v>0</v>
      </c>
      <c r="H50" s="461"/>
      <c r="I50" s="462"/>
      <c r="J50" s="457"/>
      <c r="K50" s="458">
        <v>0</v>
      </c>
      <c r="L50" s="459"/>
      <c r="M50" s="460">
        <f t="shared" si="8"/>
        <v>0</v>
      </c>
      <c r="N50" s="461"/>
      <c r="O50" s="456"/>
      <c r="P50" s="457"/>
      <c r="Q50" s="458">
        <v>0</v>
      </c>
      <c r="R50" s="459"/>
      <c r="S50" s="463">
        <f t="shared" si="9"/>
        <v>0</v>
      </c>
      <c r="T50" s="464"/>
      <c r="U50" s="465"/>
      <c r="V50" s="465">
        <f t="shared" si="10"/>
        <v>0</v>
      </c>
      <c r="W50" s="466">
        <f t="shared" si="11"/>
        <v>0</v>
      </c>
    </row>
    <row r="51" spans="1:23" s="397" customFormat="1" ht="11.5" hidden="1" outlineLevel="1">
      <c r="B51" s="455" t="s">
        <v>512</v>
      </c>
      <c r="C51" s="456"/>
      <c r="D51" s="457"/>
      <c r="E51" s="458">
        <v>0</v>
      </c>
      <c r="F51" s="459"/>
      <c r="G51" s="460">
        <f t="shared" si="7"/>
        <v>0</v>
      </c>
      <c r="H51" s="461"/>
      <c r="I51" s="462"/>
      <c r="J51" s="457"/>
      <c r="K51" s="458">
        <v>0</v>
      </c>
      <c r="L51" s="459"/>
      <c r="M51" s="460">
        <f t="shared" si="8"/>
        <v>0</v>
      </c>
      <c r="N51" s="461"/>
      <c r="O51" s="456"/>
      <c r="P51" s="457"/>
      <c r="Q51" s="458">
        <v>0</v>
      </c>
      <c r="R51" s="459"/>
      <c r="S51" s="463">
        <f t="shared" si="9"/>
        <v>0</v>
      </c>
      <c r="T51" s="464"/>
      <c r="U51" s="465"/>
      <c r="V51" s="465">
        <f t="shared" si="10"/>
        <v>0</v>
      </c>
      <c r="W51" s="466">
        <f t="shared" si="11"/>
        <v>0</v>
      </c>
    </row>
    <row r="52" spans="1:23" s="397" customFormat="1" ht="11.5" hidden="1" outlineLevel="1">
      <c r="B52" s="455" t="s">
        <v>513</v>
      </c>
      <c r="C52" s="456"/>
      <c r="D52" s="457"/>
      <c r="E52" s="458">
        <v>0</v>
      </c>
      <c r="F52" s="459"/>
      <c r="G52" s="460">
        <f t="shared" si="7"/>
        <v>0</v>
      </c>
      <c r="H52" s="461"/>
      <c r="I52" s="462"/>
      <c r="J52" s="457"/>
      <c r="K52" s="458">
        <v>0</v>
      </c>
      <c r="L52" s="459"/>
      <c r="M52" s="460">
        <f t="shared" si="8"/>
        <v>0</v>
      </c>
      <c r="N52" s="461"/>
      <c r="O52" s="456"/>
      <c r="P52" s="457"/>
      <c r="Q52" s="458">
        <v>0</v>
      </c>
      <c r="R52" s="459"/>
      <c r="S52" s="463">
        <f t="shared" si="9"/>
        <v>0</v>
      </c>
      <c r="T52" s="464"/>
      <c r="U52" s="465"/>
      <c r="V52" s="465">
        <f t="shared" si="10"/>
        <v>0</v>
      </c>
      <c r="W52" s="466">
        <f t="shared" si="11"/>
        <v>0</v>
      </c>
    </row>
    <row r="53" spans="1:23" s="397" customFormat="1" ht="11.5" hidden="1" outlineLevel="1">
      <c r="B53" s="455" t="s">
        <v>514</v>
      </c>
      <c r="C53" s="456"/>
      <c r="D53" s="457"/>
      <c r="E53" s="458">
        <v>0</v>
      </c>
      <c r="F53" s="459"/>
      <c r="G53" s="460">
        <f t="shared" ref="G53:G56" si="12">F53*E53</f>
        <v>0</v>
      </c>
      <c r="H53" s="461"/>
      <c r="I53" s="462"/>
      <c r="J53" s="457"/>
      <c r="K53" s="458">
        <v>0</v>
      </c>
      <c r="L53" s="459"/>
      <c r="M53" s="460">
        <f t="shared" ref="M53:M56" si="13">L53*K53</f>
        <v>0</v>
      </c>
      <c r="N53" s="461"/>
      <c r="O53" s="456"/>
      <c r="P53" s="457"/>
      <c r="Q53" s="458">
        <v>0</v>
      </c>
      <c r="R53" s="459"/>
      <c r="S53" s="463">
        <f t="shared" ref="S53:S56" si="14">R53*Q53</f>
        <v>0</v>
      </c>
      <c r="T53" s="464"/>
      <c r="U53" s="465"/>
      <c r="V53" s="465">
        <f t="shared" ref="V53:V56" si="15">SUM(S53+M53+G53)</f>
        <v>0</v>
      </c>
      <c r="W53" s="466">
        <f t="shared" ref="W53:W56" si="16">V53</f>
        <v>0</v>
      </c>
    </row>
    <row r="54" spans="1:23" s="397" customFormat="1" ht="11.5" hidden="1" outlineLevel="1">
      <c r="B54" s="455" t="s">
        <v>515</v>
      </c>
      <c r="C54" s="456"/>
      <c r="D54" s="457"/>
      <c r="E54" s="458">
        <v>0</v>
      </c>
      <c r="F54" s="459"/>
      <c r="G54" s="460">
        <f t="shared" si="12"/>
        <v>0</v>
      </c>
      <c r="H54" s="461"/>
      <c r="I54" s="462"/>
      <c r="J54" s="457"/>
      <c r="K54" s="458">
        <v>0</v>
      </c>
      <c r="L54" s="459"/>
      <c r="M54" s="460">
        <f t="shared" si="13"/>
        <v>0</v>
      </c>
      <c r="N54" s="461"/>
      <c r="O54" s="456"/>
      <c r="P54" s="457"/>
      <c r="Q54" s="458">
        <v>0</v>
      </c>
      <c r="R54" s="459"/>
      <c r="S54" s="463">
        <f t="shared" si="14"/>
        <v>0</v>
      </c>
      <c r="T54" s="464"/>
      <c r="U54" s="465"/>
      <c r="V54" s="465">
        <f t="shared" si="15"/>
        <v>0</v>
      </c>
      <c r="W54" s="466">
        <f t="shared" si="16"/>
        <v>0</v>
      </c>
    </row>
    <row r="55" spans="1:23" s="397" customFormat="1" ht="11.5" hidden="1" outlineLevel="1">
      <c r="B55" s="455" t="s">
        <v>516</v>
      </c>
      <c r="C55" s="456"/>
      <c r="D55" s="457"/>
      <c r="E55" s="458">
        <v>0</v>
      </c>
      <c r="F55" s="459"/>
      <c r="G55" s="460">
        <f t="shared" si="12"/>
        <v>0</v>
      </c>
      <c r="H55" s="461"/>
      <c r="I55" s="462"/>
      <c r="J55" s="457"/>
      <c r="K55" s="458">
        <v>0</v>
      </c>
      <c r="L55" s="459"/>
      <c r="M55" s="460">
        <f t="shared" si="13"/>
        <v>0</v>
      </c>
      <c r="N55" s="461"/>
      <c r="O55" s="456"/>
      <c r="P55" s="457"/>
      <c r="Q55" s="458">
        <v>0</v>
      </c>
      <c r="R55" s="459"/>
      <c r="S55" s="463">
        <f t="shared" si="14"/>
        <v>0</v>
      </c>
      <c r="T55" s="464"/>
      <c r="U55" s="465"/>
      <c r="V55" s="465">
        <f t="shared" si="15"/>
        <v>0</v>
      </c>
      <c r="W55" s="466">
        <f t="shared" si="16"/>
        <v>0</v>
      </c>
    </row>
    <row r="56" spans="1:23" s="397" customFormat="1" ht="11.5" collapsed="1">
      <c r="B56" s="455"/>
      <c r="C56" s="456"/>
      <c r="D56" s="457"/>
      <c r="E56" s="458">
        <v>0</v>
      </c>
      <c r="F56" s="459"/>
      <c r="G56" s="460">
        <f t="shared" si="12"/>
        <v>0</v>
      </c>
      <c r="H56" s="461"/>
      <c r="I56" s="462"/>
      <c r="J56" s="457"/>
      <c r="K56" s="458">
        <v>0</v>
      </c>
      <c r="L56" s="459"/>
      <c r="M56" s="460">
        <f t="shared" si="13"/>
        <v>0</v>
      </c>
      <c r="N56" s="461"/>
      <c r="O56" s="456"/>
      <c r="P56" s="457"/>
      <c r="Q56" s="458">
        <v>0</v>
      </c>
      <c r="R56" s="459"/>
      <c r="S56" s="463">
        <f t="shared" si="14"/>
        <v>0</v>
      </c>
      <c r="T56" s="464"/>
      <c r="U56" s="465"/>
      <c r="V56" s="465">
        <f t="shared" si="15"/>
        <v>0</v>
      </c>
      <c r="W56" s="466">
        <f t="shared" si="16"/>
        <v>0</v>
      </c>
    </row>
    <row r="57" spans="1:23" s="397" customFormat="1" ht="11.5">
      <c r="B57" s="455"/>
      <c r="C57" s="456"/>
      <c r="D57" s="457"/>
      <c r="E57" s="458">
        <v>0</v>
      </c>
      <c r="F57" s="459"/>
      <c r="G57" s="460">
        <f t="shared" ref="G57" si="17">F57*E57</f>
        <v>0</v>
      </c>
      <c r="H57" s="461"/>
      <c r="I57" s="462"/>
      <c r="J57" s="457"/>
      <c r="K57" s="458">
        <v>0</v>
      </c>
      <c r="L57" s="459"/>
      <c r="M57" s="460">
        <f t="shared" ref="M57" si="18">L57*K57</f>
        <v>0</v>
      </c>
      <c r="N57" s="461"/>
      <c r="O57" s="456"/>
      <c r="P57" s="457"/>
      <c r="Q57" s="458">
        <v>0</v>
      </c>
      <c r="R57" s="459"/>
      <c r="S57" s="463">
        <f t="shared" ref="S57" si="19">R57*Q57</f>
        <v>0</v>
      </c>
      <c r="T57" s="464"/>
      <c r="U57" s="465"/>
      <c r="V57" s="465">
        <f t="shared" ref="V57" si="20">SUM(S57+M57+G57)</f>
        <v>0</v>
      </c>
      <c r="W57" s="466">
        <f t="shared" ref="W57" si="21">V57</f>
        <v>0</v>
      </c>
    </row>
    <row r="58" spans="1:23" s="397" customFormat="1" ht="11.5">
      <c r="B58" s="455" t="s">
        <v>427</v>
      </c>
      <c r="C58" s="456"/>
      <c r="D58" s="468"/>
      <c r="E58" s="458">
        <v>0</v>
      </c>
      <c r="F58" s="459"/>
      <c r="G58" s="460">
        <f t="shared" si="4"/>
        <v>0</v>
      </c>
      <c r="H58" s="461"/>
      <c r="I58" s="462"/>
      <c r="J58" s="468"/>
      <c r="K58" s="458">
        <v>0</v>
      </c>
      <c r="L58" s="459"/>
      <c r="M58" s="460">
        <f t="shared" si="5"/>
        <v>0</v>
      </c>
      <c r="N58" s="461"/>
      <c r="O58" s="456"/>
      <c r="P58" s="468"/>
      <c r="Q58" s="458">
        <v>0</v>
      </c>
      <c r="R58" s="459"/>
      <c r="S58" s="463">
        <f t="shared" si="6"/>
        <v>0</v>
      </c>
      <c r="T58" s="464"/>
      <c r="U58" s="465"/>
      <c r="V58" s="465">
        <f t="shared" si="2"/>
        <v>0</v>
      </c>
      <c r="W58" s="466">
        <f t="shared" si="3"/>
        <v>0</v>
      </c>
    </row>
    <row r="59" spans="1:23" s="397" customFormat="1" ht="11.5">
      <c r="A59" s="397" t="s">
        <v>412</v>
      </c>
      <c r="B59" s="425" t="s">
        <v>269</v>
      </c>
      <c r="C59" s="469"/>
      <c r="D59" s="469"/>
      <c r="E59" s="470"/>
      <c r="F59" s="471"/>
      <c r="G59" s="472">
        <f>SUM(G36:G58)</f>
        <v>0</v>
      </c>
      <c r="H59" s="473"/>
      <c r="I59" s="474"/>
      <c r="J59" s="469"/>
      <c r="K59" s="470"/>
      <c r="L59" s="471"/>
      <c r="M59" s="471">
        <f>SUM(M36:M58)</f>
        <v>0</v>
      </c>
      <c r="N59" s="473"/>
      <c r="O59" s="469"/>
      <c r="P59" s="469"/>
      <c r="Q59" s="470"/>
      <c r="R59" s="471"/>
      <c r="S59" s="471">
        <f>SUM(S36:S58)</f>
        <v>0</v>
      </c>
      <c r="T59" s="464"/>
      <c r="U59" s="475"/>
      <c r="V59" s="475">
        <f>SUM(V36:V58)</f>
        <v>0</v>
      </c>
      <c r="W59" s="475">
        <f t="shared" ref="W59" si="22">SUM(W36:W58)</f>
        <v>0</v>
      </c>
    </row>
    <row r="60" spans="1:23" s="397" customFormat="1" ht="11.5">
      <c r="B60" s="438"/>
      <c r="C60" s="476"/>
      <c r="D60" s="476"/>
      <c r="E60" s="477"/>
      <c r="F60" s="478"/>
      <c r="G60" s="478"/>
      <c r="H60" s="479"/>
      <c r="I60" s="480"/>
      <c r="J60" s="478"/>
      <c r="K60" s="478"/>
      <c r="L60" s="478"/>
      <c r="M60" s="478"/>
      <c r="N60" s="479"/>
      <c r="O60" s="481"/>
      <c r="P60" s="478"/>
      <c r="Q60" s="478"/>
      <c r="R60" s="478"/>
      <c r="S60" s="478"/>
      <c r="U60" s="478"/>
      <c r="V60" s="478"/>
      <c r="W60" s="478"/>
    </row>
    <row r="61" spans="1:23" s="397" customFormat="1" ht="51" customHeight="1">
      <c r="B61" s="447" t="s">
        <v>462</v>
      </c>
      <c r="C61" s="482" t="s">
        <v>46</v>
      </c>
      <c r="D61" s="483" t="s">
        <v>420</v>
      </c>
      <c r="E61" s="484" t="s">
        <v>517</v>
      </c>
      <c r="F61" s="485" t="s">
        <v>55</v>
      </c>
      <c r="G61" s="485" t="s">
        <v>45</v>
      </c>
      <c r="H61" s="486"/>
      <c r="I61" s="487" t="s">
        <v>46</v>
      </c>
      <c r="J61" s="483" t="s">
        <v>420</v>
      </c>
      <c r="K61" s="484" t="s">
        <v>517</v>
      </c>
      <c r="L61" s="485" t="s">
        <v>55</v>
      </c>
      <c r="M61" s="484" t="s">
        <v>45</v>
      </c>
      <c r="N61" s="486"/>
      <c r="O61" s="482" t="s">
        <v>46</v>
      </c>
      <c r="P61" s="483" t="s">
        <v>420</v>
      </c>
      <c r="Q61" s="484" t="s">
        <v>517</v>
      </c>
      <c r="R61" s="485" t="s">
        <v>55</v>
      </c>
      <c r="S61" s="484" t="s">
        <v>45</v>
      </c>
      <c r="U61" s="435" t="s">
        <v>413</v>
      </c>
      <c r="V61" s="436" t="s">
        <v>412</v>
      </c>
      <c r="W61" s="436" t="s">
        <v>414</v>
      </c>
    </row>
    <row r="62" spans="1:23" s="397" customFormat="1" ht="12.5" customHeight="1">
      <c r="B62" s="431" t="s">
        <v>48</v>
      </c>
      <c r="C62" s="488"/>
      <c r="D62" s="489"/>
      <c r="E62" s="490">
        <v>0</v>
      </c>
      <c r="F62" s="514">
        <f>IF(D62="PURCHASE",E62*0.1,E62*0)</f>
        <v>0</v>
      </c>
      <c r="G62" s="492">
        <f>F62+E62</f>
        <v>0</v>
      </c>
      <c r="H62" s="493"/>
      <c r="I62" s="494"/>
      <c r="J62" s="489"/>
      <c r="K62" s="490">
        <v>0</v>
      </c>
      <c r="L62" s="514">
        <f>IF(J62="PURCHASE",K62*0.1,K62*0)</f>
        <v>0</v>
      </c>
      <c r="M62" s="402">
        <f>L62+K62</f>
        <v>0</v>
      </c>
      <c r="N62" s="493"/>
      <c r="O62" s="488"/>
      <c r="P62" s="489"/>
      <c r="Q62" s="490">
        <v>0</v>
      </c>
      <c r="R62" s="514">
        <f>IF(P62="PURCHASE",Q62*0.1,Q62*0)</f>
        <v>0</v>
      </c>
      <c r="S62" s="495">
        <f>R62+Q62</f>
        <v>0</v>
      </c>
      <c r="U62" s="402"/>
      <c r="V62" s="402">
        <f>SUM(S62+M62+G62)</f>
        <v>0</v>
      </c>
      <c r="W62" s="496">
        <f>SUM(U62:V62)</f>
        <v>0</v>
      </c>
    </row>
    <row r="63" spans="1:23" s="397" customFormat="1" ht="11.5">
      <c r="B63" s="431" t="s">
        <v>49</v>
      </c>
      <c r="C63" s="488"/>
      <c r="D63" s="489"/>
      <c r="E63" s="490">
        <v>0</v>
      </c>
      <c r="F63" s="514">
        <f>IF(D63="PURCHASE",E63*0.1,E63*0)</f>
        <v>0</v>
      </c>
      <c r="G63" s="495">
        <f>F63+E63</f>
        <v>0</v>
      </c>
      <c r="H63" s="493"/>
      <c r="I63" s="494"/>
      <c r="J63" s="489"/>
      <c r="K63" s="490">
        <v>0</v>
      </c>
      <c r="L63" s="514">
        <f>IF(J63="PURCHASE",K63*0.1,K63*0)</f>
        <v>0</v>
      </c>
      <c r="M63" s="402">
        <f>L63+K63</f>
        <v>0</v>
      </c>
      <c r="N63" s="493"/>
      <c r="O63" s="488"/>
      <c r="P63" s="489"/>
      <c r="Q63" s="490">
        <v>0</v>
      </c>
      <c r="R63" s="514">
        <f>IF(P63="PURCHASE",Q63*0.1,Q63*0)</f>
        <v>0</v>
      </c>
      <c r="S63" s="495">
        <f>R63+Q63</f>
        <v>0</v>
      </c>
      <c r="U63" s="402"/>
      <c r="V63" s="402">
        <f>SUM(S63+M63+G63)</f>
        <v>0</v>
      </c>
      <c r="W63" s="496">
        <f t="shared" ref="W63:W64" si="23">SUM(U63:V63)</f>
        <v>0</v>
      </c>
    </row>
    <row r="64" spans="1:23" s="397" customFormat="1" ht="11.5">
      <c r="B64" s="431" t="s">
        <v>50</v>
      </c>
      <c r="C64" s="488"/>
      <c r="D64" s="489"/>
      <c r="E64" s="490">
        <v>0</v>
      </c>
      <c r="F64" s="514">
        <f>IF(D64="PURCHASE",E64*0.1,E64*0)</f>
        <v>0</v>
      </c>
      <c r="G64" s="497">
        <f>F64+E64</f>
        <v>0</v>
      </c>
      <c r="H64" s="493"/>
      <c r="I64" s="494"/>
      <c r="J64" s="489"/>
      <c r="K64" s="490">
        <v>0</v>
      </c>
      <c r="L64" s="514">
        <f>IF(J64="PURCHASE",K64*0.1,K64*0)</f>
        <v>0</v>
      </c>
      <c r="M64" s="498">
        <f>L64+K64</f>
        <v>0</v>
      </c>
      <c r="N64" s="493"/>
      <c r="O64" s="488"/>
      <c r="P64" s="489"/>
      <c r="Q64" s="490">
        <v>0</v>
      </c>
      <c r="R64" s="514">
        <f>IF(P64="PURCHASE",Q64*0.1,Q64*0)</f>
        <v>0</v>
      </c>
      <c r="S64" s="495">
        <f>R64+Q64</f>
        <v>0</v>
      </c>
      <c r="U64" s="402"/>
      <c r="V64" s="402">
        <f>SUM(K64+R64)</f>
        <v>0</v>
      </c>
      <c r="W64" s="496">
        <f t="shared" si="23"/>
        <v>0</v>
      </c>
    </row>
    <row r="65" spans="1:23" s="397" customFormat="1" ht="11.5">
      <c r="A65" s="397" t="s">
        <v>412</v>
      </c>
      <c r="B65" s="425" t="s">
        <v>62</v>
      </c>
      <c r="C65" s="469"/>
      <c r="D65" s="469"/>
      <c r="E65" s="499"/>
      <c r="F65" s="499"/>
      <c r="G65" s="500">
        <f>SUM(G62:G64)</f>
        <v>0</v>
      </c>
      <c r="H65" s="501"/>
      <c r="I65" s="502"/>
      <c r="J65" s="499"/>
      <c r="K65" s="499"/>
      <c r="L65" s="499"/>
      <c r="M65" s="499">
        <f>SUM(M62:M64)</f>
        <v>0</v>
      </c>
      <c r="N65" s="501"/>
      <c r="O65" s="499"/>
      <c r="P65" s="499"/>
      <c r="Q65" s="499"/>
      <c r="R65" s="499"/>
      <c r="S65" s="499">
        <f>SUM(S62:S64)</f>
        <v>0</v>
      </c>
      <c r="U65" s="499"/>
      <c r="V65" s="499">
        <f>SUM(V62:V64)</f>
        <v>0</v>
      </c>
      <c r="W65" s="499">
        <f>+SUM(W62:W64)</f>
        <v>0</v>
      </c>
    </row>
    <row r="66" spans="1:23" s="397" customFormat="1" ht="11.5">
      <c r="B66" s="503"/>
      <c r="H66" s="504"/>
      <c r="N66" s="504"/>
    </row>
    <row r="67" spans="1:23" s="397" customFormat="1" ht="43.5" customHeight="1">
      <c r="B67" s="447" t="s">
        <v>469</v>
      </c>
      <c r="C67" s="482" t="s">
        <v>46</v>
      </c>
      <c r="D67" s="505" t="s">
        <v>463</v>
      </c>
      <c r="E67" s="484" t="s">
        <v>517</v>
      </c>
      <c r="F67" s="506" t="s">
        <v>464</v>
      </c>
      <c r="G67" s="485" t="s">
        <v>465</v>
      </c>
      <c r="H67" s="486"/>
      <c r="I67" s="487" t="s">
        <v>46</v>
      </c>
      <c r="J67" s="505" t="s">
        <v>463</v>
      </c>
      <c r="K67" s="484" t="s">
        <v>517</v>
      </c>
      <c r="L67" s="506" t="s">
        <v>464</v>
      </c>
      <c r="M67" s="484" t="s">
        <v>465</v>
      </c>
      <c r="N67" s="486"/>
      <c r="O67" s="482" t="s">
        <v>46</v>
      </c>
      <c r="P67" s="505" t="s">
        <v>463</v>
      </c>
      <c r="Q67" s="484" t="s">
        <v>517</v>
      </c>
      <c r="R67" s="506" t="s">
        <v>464</v>
      </c>
      <c r="S67" s="484" t="s">
        <v>465</v>
      </c>
      <c r="U67" s="435" t="s">
        <v>413</v>
      </c>
      <c r="V67" s="436" t="s">
        <v>412</v>
      </c>
      <c r="W67" s="436" t="s">
        <v>414</v>
      </c>
    </row>
    <row r="68" spans="1:23" s="397" customFormat="1" ht="12.5" customHeight="1">
      <c r="B68" s="431" t="s">
        <v>48</v>
      </c>
      <c r="C68" s="488"/>
      <c r="D68" s="488"/>
      <c r="E68" s="490"/>
      <c r="F68" s="507">
        <v>7</v>
      </c>
      <c r="G68" s="508"/>
      <c r="H68" s="509"/>
      <c r="I68" s="494"/>
      <c r="J68" s="488"/>
      <c r="K68" s="490"/>
      <c r="L68" s="507">
        <v>7</v>
      </c>
      <c r="M68" s="508"/>
      <c r="N68" s="509"/>
      <c r="O68" s="488"/>
      <c r="P68" s="488"/>
      <c r="Q68" s="490"/>
      <c r="R68" s="507">
        <v>7</v>
      </c>
      <c r="S68" s="508"/>
      <c r="U68" s="402"/>
      <c r="V68" s="402"/>
      <c r="W68" s="496"/>
    </row>
    <row r="69" spans="1:23" s="397" customFormat="1" ht="11.5">
      <c r="B69" s="431" t="s">
        <v>49</v>
      </c>
      <c r="C69" s="488"/>
      <c r="D69" s="488"/>
      <c r="E69" s="490"/>
      <c r="F69" s="507">
        <v>7</v>
      </c>
      <c r="G69" s="508"/>
      <c r="H69" s="509"/>
      <c r="I69" s="494"/>
      <c r="J69" s="488"/>
      <c r="K69" s="490"/>
      <c r="L69" s="507">
        <v>7</v>
      </c>
      <c r="M69" s="508"/>
      <c r="N69" s="509"/>
      <c r="O69" s="488"/>
      <c r="P69" s="488"/>
      <c r="Q69" s="490"/>
      <c r="R69" s="507">
        <v>7</v>
      </c>
      <c r="S69" s="508"/>
      <c r="U69" s="402"/>
      <c r="V69" s="402"/>
      <c r="W69" s="496"/>
    </row>
    <row r="70" spans="1:23" s="397" customFormat="1" ht="11.5">
      <c r="B70" s="431" t="s">
        <v>50</v>
      </c>
      <c r="C70" s="488"/>
      <c r="D70" s="488"/>
      <c r="E70" s="490"/>
      <c r="F70" s="507">
        <v>7</v>
      </c>
      <c r="G70" s="508"/>
      <c r="H70" s="509"/>
      <c r="I70" s="494"/>
      <c r="J70" s="488"/>
      <c r="K70" s="490"/>
      <c r="L70" s="507">
        <v>7</v>
      </c>
      <c r="M70" s="508"/>
      <c r="N70" s="509"/>
      <c r="O70" s="488"/>
      <c r="P70" s="488"/>
      <c r="Q70" s="490"/>
      <c r="R70" s="507">
        <v>7</v>
      </c>
      <c r="S70" s="508"/>
      <c r="U70" s="402"/>
      <c r="V70" s="402"/>
      <c r="W70" s="496"/>
    </row>
    <row r="71" spans="1:23" s="397" customFormat="1" ht="11.5">
      <c r="A71" s="397" t="s">
        <v>412</v>
      </c>
      <c r="B71" s="425" t="s">
        <v>62</v>
      </c>
      <c r="C71" s="469"/>
      <c r="D71" s="469"/>
      <c r="E71" s="499"/>
      <c r="F71" s="499"/>
      <c r="G71" s="500">
        <f>(E68/F68)*G68</f>
        <v>0</v>
      </c>
      <c r="H71" s="501"/>
      <c r="I71" s="474"/>
      <c r="J71" s="469"/>
      <c r="K71" s="499"/>
      <c r="L71" s="499"/>
      <c r="M71" s="499">
        <f>(K68/L68)*M68</f>
        <v>0</v>
      </c>
      <c r="N71" s="501"/>
      <c r="O71" s="469"/>
      <c r="P71" s="469"/>
      <c r="Q71" s="499"/>
      <c r="R71" s="499"/>
      <c r="S71" s="499">
        <f>(Q68/R68)*S68</f>
        <v>0</v>
      </c>
      <c r="U71" s="499"/>
      <c r="V71" s="499">
        <f>SUM(S71+M71+G71)</f>
        <v>0</v>
      </c>
      <c r="W71" s="499">
        <f>V71</f>
        <v>0</v>
      </c>
    </row>
    <row r="72" spans="1:23" s="397" customFormat="1" ht="11.5">
      <c r="B72" s="503"/>
      <c r="H72" s="504"/>
      <c r="N72" s="504"/>
    </row>
    <row r="73" spans="1:23" s="397" customFormat="1" ht="11.5">
      <c r="B73" s="503"/>
      <c r="H73" s="504"/>
      <c r="N73" s="504"/>
    </row>
    <row r="74" spans="1:23" s="397" customFormat="1" ht="11.5">
      <c r="B74" s="503"/>
      <c r="H74" s="504"/>
      <c r="N74" s="504"/>
    </row>
    <row r="75" spans="1:23" s="397" customFormat="1" ht="11.5">
      <c r="B75" s="503"/>
      <c r="H75" s="504"/>
      <c r="N75" s="504"/>
    </row>
    <row r="76" spans="1:23" s="397" customFormat="1" ht="11.5">
      <c r="B76" s="510" t="s">
        <v>428</v>
      </c>
      <c r="H76" s="504"/>
      <c r="N76" s="504"/>
    </row>
    <row r="77" spans="1:23" s="397" customFormat="1" ht="11.5">
      <c r="B77" s="503"/>
      <c r="H77" s="504"/>
      <c r="N77" s="504"/>
    </row>
    <row r="78" spans="1:23" s="397" customFormat="1" ht="11.5">
      <c r="B78" s="503"/>
      <c r="H78" s="504"/>
      <c r="N78" s="504"/>
    </row>
    <row r="79" spans="1:23" s="397" customFormat="1" ht="11.5">
      <c r="B79" s="503"/>
      <c r="H79" s="504"/>
      <c r="N79" s="504"/>
    </row>
    <row r="80" spans="1:23" s="397" customFormat="1" ht="41" customHeight="1">
      <c r="B80" s="511"/>
      <c r="H80" s="504"/>
      <c r="N80" s="504"/>
    </row>
    <row r="81" spans="2:2" ht="14.5">
      <c r="B81"/>
    </row>
    <row r="82" spans="2:2" ht="14.5">
      <c r="B82"/>
    </row>
    <row r="83" spans="2:2" ht="14.5">
      <c r="B83"/>
    </row>
    <row r="84" spans="2:2" ht="14.5">
      <c r="B84"/>
    </row>
  </sheetData>
  <sheetProtection formatCells="0" formatColumns="0" formatRows="0" selectLockedCells="1"/>
  <mergeCells count="6">
    <mergeCell ref="E5:G5"/>
    <mergeCell ref="C12:G12"/>
    <mergeCell ref="I12:M12"/>
    <mergeCell ref="O12:S12"/>
    <mergeCell ref="E6:G6"/>
    <mergeCell ref="E7:G7"/>
  </mergeCells>
  <phoneticPr fontId="0" type="noConversion"/>
  <dataValidations count="4">
    <dataValidation type="list" allowBlank="1" showInputMessage="1" showErrorMessage="1" promptTitle="Laboratory" prompt="Select Lab from list" sqref="C6" xr:uid="{00000000-0002-0000-0200-000000000000}">
      <formula1>INDIRECT(SUBSTITUTE(C5," ","_"))</formula1>
    </dataValidation>
    <dataValidation allowBlank="1" showInputMessage="1" showErrorMessage="1" promptTitle="Maintenance Cost" prompt="Input annual maintenance cost as a % of instrument cost_x000a_(typically this will be 10-15%)_x000a_" sqref="F62:F64 L62:L64 R62:R64" xr:uid="{00000000-0002-0000-0200-000002000000}"/>
    <dataValidation type="list" allowBlank="1" showInputMessage="1" showErrorMessage="1" sqref="C30:S30 C20:S20" xr:uid="{00000000-0002-0000-0200-000003000000}">
      <formula1>rngSalaryBands</formula1>
    </dataValidation>
    <dataValidation type="list" allowBlank="1" showInputMessage="1" showErrorMessage="1" promptTitle="Site" prompt="Select site from list" sqref="C5" xr:uid="{00000000-0002-0000-0200-00000D000000}">
      <formula1>rngListSite</formula1>
    </dataValidation>
  </dataValidations>
  <pageMargins left="0.31496062992125984" right="0.31496062992125984" top="0.66" bottom="0.83" header="0.33" footer="0.55000000000000004"/>
  <pageSetup paperSize="8" scale="73" orientation="landscape" r:id="rId1"/>
  <headerFooter>
    <oddFooter>&amp;L&amp;Z&amp;F&amp;R&amp;D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7400480-0DF4-4399-949D-3FF90FE2735D}">
          <x14:formula1>
            <xm:f>AfC!$CD$96:$CD$98</xm:f>
          </x14:formula1>
          <xm:sqref>C7</xm:sqref>
        </x14:dataValidation>
        <x14:dataValidation type="list" allowBlank="1" showInputMessage="1" showErrorMessage="1" xr:uid="{5D01B8DC-A723-45B9-B31E-79A8EC954BAC}">
          <x14:formula1>
            <xm:f>AfC!$CD$104:$CD$127</xm:f>
          </x14:formula1>
          <xm:sqref>O27:P27 C27:D27 I27:J27</xm:sqref>
        </x14:dataValidation>
        <x14:dataValidation type="list" allowBlank="1" showInputMessage="1" showErrorMessage="1" xr:uid="{68488D2C-43A7-4541-98C0-4EB0D6ADE057}">
          <x14:formula1>
            <xm:f>AfC!$CD$100:$CD$101</xm:f>
          </x14:formula1>
          <xm:sqref>D62:D64 J62:J64 P62:P64</xm:sqref>
        </x14:dataValidation>
        <x14:dataValidation type="list" allowBlank="1" showInputMessage="1" showErrorMessage="1" xr:uid="{D2457E23-8C39-42F2-80ED-F3F2F8A70886}">
          <x14:formula1>
            <xm:f>AfC!$CF$95:$CF$97</xm:f>
          </x14:formula1>
          <xm:sqref>C28:S28 C18:S18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EC5A-FBC7-4034-801B-5C690E3F4A35}">
  <sheetPr>
    <tabColor rgb="FFCC99FF"/>
    <pageSetUpPr fitToPage="1"/>
  </sheetPr>
  <dimension ref="A1:Y84"/>
  <sheetViews>
    <sheetView showGridLines="0" showZeros="0" zoomScale="90" zoomScaleNormal="90" zoomScaleSheetLayoutView="55" workbookViewId="0">
      <pane xSplit="2" ySplit="12" topLeftCell="C34" activePane="bottomRight" state="frozen"/>
      <selection pane="topRight" activeCell="C1" sqref="C1"/>
      <selection pane="bottomLeft" activeCell="A14" sqref="A14"/>
      <selection pane="bottomRight" activeCell="E44" sqref="E44"/>
    </sheetView>
  </sheetViews>
  <sheetFormatPr defaultColWidth="9.1796875" defaultRowHeight="12.5" outlineLevelRow="1" outlineLevelCol="1"/>
  <cols>
    <col min="1" max="1" width="5.453125" style="23" customWidth="1"/>
    <col min="2" max="2" width="38.08984375" style="150" customWidth="1"/>
    <col min="3" max="7" width="15.54296875" style="23" customWidth="1"/>
    <col min="8" max="8" width="1.7265625" style="387" customWidth="1"/>
    <col min="9" max="13" width="15.54296875" style="23" customWidth="1" outlineLevel="1"/>
    <col min="14" max="14" width="2.7265625" style="387" customWidth="1"/>
    <col min="15" max="19" width="15.54296875" style="23" customWidth="1" outlineLevel="1"/>
    <col min="20" max="20" width="1.54296875" style="23" customWidth="1" outlineLevel="1"/>
    <col min="21" max="23" width="16.36328125" style="23" customWidth="1"/>
    <col min="24" max="16384" width="9.1796875" style="23"/>
  </cols>
  <sheetData>
    <row r="1" spans="1:23" ht="14">
      <c r="B1" s="338"/>
      <c r="G1" s="152" t="s">
        <v>480</v>
      </c>
      <c r="I1" s="19"/>
      <c r="M1" s="152" t="s">
        <v>481</v>
      </c>
    </row>
    <row r="2" spans="1:23" ht="25">
      <c r="B2" s="339"/>
      <c r="C2" s="339" t="s">
        <v>440</v>
      </c>
      <c r="D2" s="155"/>
      <c r="E2" s="155"/>
      <c r="F2" s="155"/>
      <c r="G2" s="155"/>
      <c r="H2" s="388"/>
      <c r="I2" s="155"/>
      <c r="J2" s="155"/>
      <c r="K2" s="155"/>
      <c r="L2" s="155"/>
      <c r="M2" s="155"/>
      <c r="N2" s="388"/>
      <c r="O2" s="155"/>
      <c r="P2" s="155"/>
      <c r="Q2" s="155"/>
      <c r="R2" s="155"/>
      <c r="S2" s="155"/>
      <c r="T2" s="155"/>
      <c r="U2" s="155"/>
      <c r="V2" s="155"/>
      <c r="W2" s="155"/>
    </row>
    <row r="3" spans="1:23" ht="13">
      <c r="A3" s="103"/>
      <c r="B3" s="152"/>
      <c r="C3" s="19"/>
      <c r="D3" s="103"/>
      <c r="E3" s="103"/>
      <c r="F3" s="103"/>
      <c r="G3" s="103"/>
      <c r="H3" s="389"/>
      <c r="I3" s="103"/>
      <c r="J3" s="103"/>
      <c r="K3" s="103"/>
      <c r="L3" s="103"/>
      <c r="M3" s="103"/>
      <c r="N3" s="389"/>
    </row>
    <row r="4" spans="1:23" ht="27.75" customHeight="1">
      <c r="C4" s="159"/>
      <c r="D4" s="103"/>
      <c r="E4" s="103"/>
      <c r="F4" s="103"/>
      <c r="G4" s="103"/>
      <c r="H4" s="389"/>
      <c r="I4" s="151"/>
      <c r="J4" s="103"/>
      <c r="K4" s="103"/>
      <c r="L4" s="103"/>
      <c r="M4" s="103"/>
      <c r="N4" s="389"/>
      <c r="Q4" s="150"/>
      <c r="R4" s="150"/>
      <c r="S4" s="150"/>
    </row>
    <row r="5" spans="1:23" s="150" customFormat="1" ht="16" customHeight="1">
      <c r="B5" s="158" t="s">
        <v>220</v>
      </c>
      <c r="C5" s="154" t="s">
        <v>264</v>
      </c>
      <c r="D5" s="103"/>
      <c r="E5" s="529" t="s">
        <v>494</v>
      </c>
      <c r="F5" s="529"/>
      <c r="G5" s="529"/>
      <c r="H5" s="390"/>
      <c r="I5" s="151"/>
      <c r="J5" s="144"/>
      <c r="K5" s="144"/>
      <c r="N5" s="390"/>
    </row>
    <row r="6" spans="1:23" s="150" customFormat="1" ht="16" customHeight="1">
      <c r="B6" s="158" t="s">
        <v>57</v>
      </c>
      <c r="C6" s="154" t="s">
        <v>155</v>
      </c>
      <c r="D6" s="103"/>
      <c r="E6" s="528" t="s">
        <v>495</v>
      </c>
      <c r="F6" s="528"/>
      <c r="G6" s="528"/>
      <c r="H6" s="390"/>
      <c r="I6" s="151"/>
      <c r="J6" s="144"/>
      <c r="K6" s="144"/>
      <c r="N6" s="390"/>
    </row>
    <row r="7" spans="1:23" s="150" customFormat="1" ht="16" customHeight="1">
      <c r="B7" s="158" t="s">
        <v>415</v>
      </c>
      <c r="C7" s="156" t="s">
        <v>418</v>
      </c>
      <c r="D7" s="103"/>
      <c r="E7" s="530" t="s">
        <v>496</v>
      </c>
      <c r="F7" s="530"/>
      <c r="G7" s="530"/>
      <c r="H7" s="390"/>
      <c r="I7" s="151"/>
      <c r="J7" s="144"/>
      <c r="K7" s="144"/>
      <c r="N7" s="390"/>
      <c r="Q7" s="151"/>
      <c r="R7" s="151"/>
      <c r="S7" s="151"/>
    </row>
    <row r="8" spans="1:23" s="150" customFormat="1" ht="16" customHeight="1">
      <c r="B8" s="158" t="s">
        <v>490</v>
      </c>
      <c r="C8" s="334">
        <v>45474</v>
      </c>
      <c r="D8" s="103"/>
      <c r="E8" s="144"/>
      <c r="F8" s="144"/>
      <c r="G8" s="144"/>
      <c r="H8" s="390"/>
      <c r="I8" s="151"/>
      <c r="J8" s="144"/>
      <c r="K8" s="144"/>
      <c r="N8" s="390"/>
      <c r="Q8" s="151"/>
      <c r="R8" s="151"/>
      <c r="S8" s="151"/>
    </row>
    <row r="9" spans="1:23" s="150" customFormat="1" ht="16" customHeight="1">
      <c r="B9" s="158" t="s">
        <v>453</v>
      </c>
      <c r="C9" s="334" t="s">
        <v>461</v>
      </c>
      <c r="D9" s="103"/>
      <c r="E9" s="144"/>
      <c r="F9" s="144"/>
      <c r="G9" s="144"/>
      <c r="H9" s="390"/>
      <c r="I9" s="151"/>
      <c r="J9" s="144"/>
      <c r="K9" s="144"/>
      <c r="N9" s="390"/>
      <c r="Q9" s="151"/>
      <c r="R9" s="151"/>
      <c r="S9" s="151"/>
    </row>
    <row r="10" spans="1:23" s="150" customFormat="1" ht="16" customHeight="1">
      <c r="B10" s="158" t="s">
        <v>425</v>
      </c>
      <c r="C10" s="334" t="s">
        <v>426</v>
      </c>
      <c r="D10" s="103"/>
      <c r="E10" s="144"/>
      <c r="F10" s="144"/>
      <c r="H10" s="390"/>
      <c r="I10" s="151"/>
      <c r="J10" s="144"/>
      <c r="K10" s="144"/>
      <c r="N10" s="390"/>
      <c r="Q10" s="151"/>
      <c r="R10" s="151"/>
      <c r="S10" s="151"/>
    </row>
    <row r="11" spans="1:23" ht="6.75" customHeight="1">
      <c r="B11" s="152"/>
      <c r="C11" s="153"/>
      <c r="D11" s="333"/>
      <c r="E11" s="151"/>
      <c r="F11" s="150"/>
      <c r="G11" s="150"/>
      <c r="H11" s="391"/>
      <c r="I11" s="150"/>
      <c r="J11" s="150"/>
      <c r="K11" s="150"/>
      <c r="L11" s="150"/>
      <c r="M11" s="150"/>
      <c r="N11" s="391"/>
      <c r="O11" s="150"/>
      <c r="P11" s="150"/>
      <c r="Q11" s="150"/>
      <c r="R11" s="150"/>
      <c r="S11" s="150"/>
    </row>
    <row r="12" spans="1:23" s="35" customFormat="1" ht="30" customHeight="1">
      <c r="B12" s="160"/>
      <c r="C12" s="520" t="s">
        <v>458</v>
      </c>
      <c r="D12" s="521"/>
      <c r="E12" s="521"/>
      <c r="F12" s="521"/>
      <c r="G12" s="522"/>
      <c r="H12" s="392"/>
      <c r="I12" s="523" t="s">
        <v>459</v>
      </c>
      <c r="J12" s="524"/>
      <c r="K12" s="524"/>
      <c r="L12" s="524"/>
      <c r="M12" s="525"/>
      <c r="N12" s="392"/>
      <c r="O12" s="526" t="s">
        <v>460</v>
      </c>
      <c r="P12" s="527"/>
      <c r="Q12" s="527"/>
      <c r="R12" s="527"/>
      <c r="S12" s="527"/>
      <c r="T12" s="23"/>
      <c r="U12" s="161" t="s">
        <v>413</v>
      </c>
      <c r="V12" s="356" t="s">
        <v>412</v>
      </c>
      <c r="W12" s="356" t="s">
        <v>414</v>
      </c>
    </row>
    <row r="13" spans="1:23" s="35" customFormat="1" ht="24.5" customHeight="1">
      <c r="B13" s="167" t="s">
        <v>402</v>
      </c>
      <c r="C13" s="165"/>
      <c r="D13" s="165"/>
      <c r="E13" s="165"/>
      <c r="F13" s="165"/>
      <c r="G13" s="165"/>
      <c r="H13" s="393"/>
      <c r="I13" s="165"/>
      <c r="J13" s="165"/>
      <c r="K13" s="165"/>
      <c r="L13" s="165"/>
      <c r="M13" s="165"/>
      <c r="N13" s="393"/>
      <c r="O13" s="165"/>
      <c r="P13" s="165"/>
      <c r="Q13" s="165"/>
      <c r="R13" s="165"/>
      <c r="S13" s="165"/>
      <c r="T13" s="23"/>
      <c r="U13" s="166"/>
      <c r="V13" s="166"/>
      <c r="W13" s="166"/>
    </row>
    <row r="14" spans="1:23" s="35" customFormat="1" ht="13">
      <c r="B14" s="145"/>
      <c r="C14" s="165"/>
      <c r="D14" s="165"/>
      <c r="E14" s="165"/>
      <c r="F14" s="165"/>
      <c r="G14" s="165"/>
      <c r="H14" s="393"/>
      <c r="I14" s="165"/>
      <c r="J14" s="165"/>
      <c r="K14" s="165"/>
      <c r="L14" s="165"/>
      <c r="M14" s="165"/>
      <c r="N14" s="393"/>
      <c r="O14" s="165"/>
      <c r="P14" s="165"/>
      <c r="Q14" s="165"/>
      <c r="R14" s="165"/>
      <c r="S14" s="165"/>
      <c r="T14" s="23"/>
      <c r="U14" s="166"/>
      <c r="V14" s="166"/>
      <c r="W14" s="166"/>
    </row>
    <row r="15" spans="1:23" s="397" customFormat="1" ht="11.5">
      <c r="B15" s="398" t="s">
        <v>488</v>
      </c>
      <c r="C15" s="399" t="s">
        <v>445</v>
      </c>
      <c r="D15" s="399" t="s">
        <v>445</v>
      </c>
      <c r="E15" s="399" t="s">
        <v>445</v>
      </c>
      <c r="F15" s="399" t="s">
        <v>212</v>
      </c>
      <c r="G15" s="400" t="s">
        <v>212</v>
      </c>
      <c r="H15" s="401"/>
      <c r="I15" s="399" t="s">
        <v>445</v>
      </c>
      <c r="J15" s="399" t="s">
        <v>445</v>
      </c>
      <c r="K15" s="399" t="s">
        <v>445</v>
      </c>
      <c r="L15" s="399" t="s">
        <v>212</v>
      </c>
      <c r="M15" s="400" t="s">
        <v>212</v>
      </c>
      <c r="N15" s="401"/>
      <c r="O15" s="399" t="s">
        <v>445</v>
      </c>
      <c r="P15" s="399" t="s">
        <v>445</v>
      </c>
      <c r="Q15" s="399" t="s">
        <v>445</v>
      </c>
      <c r="R15" s="399" t="s">
        <v>212</v>
      </c>
      <c r="S15" s="400" t="s">
        <v>212</v>
      </c>
      <c r="U15" s="402"/>
      <c r="V15" s="403"/>
      <c r="W15" s="402"/>
    </row>
    <row r="16" spans="1:23" s="397" customFormat="1" ht="11.5">
      <c r="B16" s="404" t="s">
        <v>482</v>
      </c>
      <c r="C16" s="405">
        <v>6</v>
      </c>
      <c r="D16" s="405">
        <v>2</v>
      </c>
      <c r="E16" s="405"/>
      <c r="F16" s="405">
        <v>21</v>
      </c>
      <c r="G16" s="406"/>
      <c r="H16" s="407"/>
      <c r="I16" s="408">
        <v>12</v>
      </c>
      <c r="J16" s="405">
        <v>4</v>
      </c>
      <c r="K16" s="405"/>
      <c r="L16" s="405"/>
      <c r="M16" s="406"/>
      <c r="N16" s="407"/>
      <c r="O16" s="409"/>
      <c r="P16" s="405"/>
      <c r="Q16" s="405"/>
      <c r="R16" s="405"/>
      <c r="S16" s="405"/>
      <c r="U16" s="402"/>
      <c r="V16" s="403"/>
      <c r="W16" s="402"/>
    </row>
    <row r="17" spans="1:25" s="397" customFormat="1" ht="57" customHeight="1">
      <c r="B17" s="404" t="s">
        <v>489</v>
      </c>
      <c r="C17" s="410" t="s">
        <v>434</v>
      </c>
      <c r="D17" s="411" t="s">
        <v>435</v>
      </c>
      <c r="E17" s="411"/>
      <c r="F17" s="411" t="s">
        <v>452</v>
      </c>
      <c r="G17" s="412"/>
      <c r="H17" s="413"/>
      <c r="I17" s="410" t="s">
        <v>434</v>
      </c>
      <c r="J17" s="411" t="s">
        <v>435</v>
      </c>
      <c r="K17" s="411"/>
      <c r="L17" s="411"/>
      <c r="M17" s="412"/>
      <c r="N17" s="413"/>
      <c r="O17" s="414"/>
      <c r="P17" s="411"/>
      <c r="Q17" s="411"/>
      <c r="R17" s="411"/>
      <c r="S17" s="411"/>
      <c r="U17" s="402"/>
      <c r="V17" s="403"/>
      <c r="W17" s="402"/>
    </row>
    <row r="18" spans="1:25" s="397" customFormat="1" ht="28.5" customHeight="1">
      <c r="B18" s="404" t="s">
        <v>430</v>
      </c>
      <c r="C18" s="340" t="s">
        <v>433</v>
      </c>
      <c r="D18" s="337" t="s">
        <v>431</v>
      </c>
      <c r="E18" s="337"/>
      <c r="F18" s="337" t="s">
        <v>431</v>
      </c>
      <c r="G18" s="357"/>
      <c r="H18" s="394"/>
      <c r="I18" s="340" t="s">
        <v>433</v>
      </c>
      <c r="J18" s="337" t="s">
        <v>431</v>
      </c>
      <c r="K18" s="337"/>
      <c r="L18" s="337"/>
      <c r="M18" s="357"/>
      <c r="N18" s="394"/>
      <c r="O18" s="358"/>
      <c r="P18" s="337"/>
      <c r="Q18" s="337"/>
      <c r="R18" s="337"/>
      <c r="S18" s="337"/>
      <c r="U18" s="402"/>
      <c r="V18" s="403"/>
      <c r="W18" s="402"/>
    </row>
    <row r="19" spans="1:25" s="397" customFormat="1" ht="11.5">
      <c r="B19" s="404" t="s">
        <v>436</v>
      </c>
      <c r="C19" s="340" t="s">
        <v>444</v>
      </c>
      <c r="D19" s="337" t="s">
        <v>438</v>
      </c>
      <c r="E19" s="337"/>
      <c r="F19" s="337" t="s">
        <v>437</v>
      </c>
      <c r="G19" s="357"/>
      <c r="H19" s="394"/>
      <c r="I19" s="340" t="s">
        <v>444</v>
      </c>
      <c r="J19" s="337" t="s">
        <v>438</v>
      </c>
      <c r="K19" s="337"/>
      <c r="L19" s="337"/>
      <c r="M19" s="357"/>
      <c r="N19" s="394"/>
      <c r="O19" s="358"/>
      <c r="P19" s="337"/>
      <c r="Q19" s="337"/>
      <c r="R19" s="337"/>
      <c r="S19" s="337"/>
      <c r="U19" s="402"/>
      <c r="V19" s="403"/>
      <c r="W19" s="402"/>
    </row>
    <row r="20" spans="1:25" s="397" customFormat="1" ht="11.5">
      <c r="B20" s="404" t="s">
        <v>1</v>
      </c>
      <c r="C20" s="415" t="s">
        <v>16</v>
      </c>
      <c r="D20" s="416" t="s">
        <v>18</v>
      </c>
      <c r="E20" s="416"/>
      <c r="F20" s="416" t="s">
        <v>14</v>
      </c>
      <c r="G20" s="417"/>
      <c r="H20" s="418"/>
      <c r="I20" s="415" t="s">
        <v>16</v>
      </c>
      <c r="J20" s="416" t="s">
        <v>18</v>
      </c>
      <c r="K20" s="416"/>
      <c r="L20" s="416"/>
      <c r="M20" s="417"/>
      <c r="N20" s="418"/>
      <c r="O20" s="419"/>
      <c r="P20" s="416"/>
      <c r="Q20" s="416"/>
      <c r="R20" s="416"/>
      <c r="S20" s="416"/>
      <c r="U20" s="402"/>
      <c r="V20" s="403"/>
      <c r="W20" s="402"/>
    </row>
    <row r="21" spans="1:25" s="397" customFormat="1" ht="11.5">
      <c r="B21" s="404" t="s">
        <v>54</v>
      </c>
      <c r="C21" s="420">
        <f>C16*(_xlfn.XLOOKUP(C20,AfC!$CD$71:$CD$83,AfC!$CG$71:$CG$83,0,0,1))</f>
        <v>31893.814321439997</v>
      </c>
      <c r="D21" s="420">
        <f>D16*(_xlfn.XLOOKUP(D20,AfC!$CD$71:$CD$83,AfC!$CG$71:$CG$83,0,0,1))</f>
        <v>14281.099975200001</v>
      </c>
      <c r="E21" s="420">
        <f>E16*(_xlfn.XLOOKUP(E20,AfC!$CD$71:$CD$83,AfC!$CG$71:$CG$83,0,0,1))</f>
        <v>0</v>
      </c>
      <c r="F21" s="420">
        <f>F16*(_xlfn.XLOOKUP(F20,AfC!$CD$71:$CD$83,AfC!$CF$71:$CF$83,0,0,1))</f>
        <v>4327.4130475234042</v>
      </c>
      <c r="G21" s="420">
        <f>G16*(_xlfn.XLOOKUP(G20,AfC!$CD$71:$CD$83,AfC!$CF$71:$CF$83,0,0,1))</f>
        <v>0</v>
      </c>
      <c r="H21" s="421"/>
      <c r="I21" s="422">
        <f>I16*(_xlfn.XLOOKUP(I20,AfC!$CD$71:$CD$83,AfC!$CG$71:$CG$83,0,0,1))</f>
        <v>63787.628642879994</v>
      </c>
      <c r="J21" s="420">
        <f>J16*(_xlfn.XLOOKUP(J20,AfC!$CD$71:$CD$83,AfC!$CG$71:$CG$83,0,0,1))</f>
        <v>28562.199950400001</v>
      </c>
      <c r="K21" s="420">
        <f>K16*(_xlfn.XLOOKUP(K20,AfC!$CD$71:$CD$83,AfC!$CG$71:$CG$83,0,0,1))</f>
        <v>0</v>
      </c>
      <c r="L21" s="420">
        <f>L16*(_xlfn.XLOOKUP(L20,AfC!$CD$71:$CD$83,AfC!$CF$71:$CF$83,0,0,1))</f>
        <v>0</v>
      </c>
      <c r="M21" s="420">
        <f>M16*(_xlfn.XLOOKUP(M20,AfC!$CD$71:$CD$83,AfC!$CF$71:$CF$83,0,0,1))</f>
        <v>0</v>
      </c>
      <c r="N21" s="421"/>
      <c r="O21" s="423">
        <f>O16*(_xlfn.XLOOKUP(O20,AfC!$CD$71:$CD$83,AfC!$CG$71:$CG$83,0,0,1))</f>
        <v>0</v>
      </c>
      <c r="P21" s="420">
        <f>P16*(_xlfn.XLOOKUP(P20,AfC!$CD$71:$CD$83,AfC!$CG$71:$CG$83,0,0,1))</f>
        <v>0</v>
      </c>
      <c r="Q21" s="420">
        <f>Q16*(_xlfn.XLOOKUP(Q20,AfC!$CD$71:$CD$83,AfC!$CG$71:$CG$83,0,0,1))</f>
        <v>0</v>
      </c>
      <c r="R21" s="420">
        <f>R16*(_xlfn.XLOOKUP(R20,AfC!$CD$71:$CD$83,AfC!$CF$71:$CF$83,0,0,1))</f>
        <v>0</v>
      </c>
      <c r="S21" s="420">
        <f>S16*(_xlfn.XLOOKUP(S20,AfC!$CD$71:$CD$83,AfC!$CF$71:$CF$83,0,0,1))</f>
        <v>0</v>
      </c>
      <c r="U21" s="424">
        <f>SUM(C21:T21)</f>
        <v>142852.1559374434</v>
      </c>
      <c r="V21" s="424"/>
      <c r="W21" s="424">
        <f>U21</f>
        <v>142852.1559374434</v>
      </c>
    </row>
    <row r="22" spans="1:25" s="397" customFormat="1" ht="11.5">
      <c r="B22" s="404" t="s">
        <v>423</v>
      </c>
      <c r="C22" s="517">
        <v>500</v>
      </c>
      <c r="D22" s="517"/>
      <c r="E22" s="517"/>
      <c r="F22" s="517"/>
      <c r="G22" s="517"/>
      <c r="H22" s="421"/>
      <c r="I22" s="517">
        <v>500</v>
      </c>
      <c r="J22" s="517"/>
      <c r="K22" s="517"/>
      <c r="L22" s="517"/>
      <c r="M22" s="517"/>
      <c r="N22" s="421"/>
      <c r="O22" s="517"/>
      <c r="P22" s="517"/>
      <c r="Q22" s="517"/>
      <c r="R22" s="517"/>
      <c r="S22" s="517"/>
      <c r="U22" s="424">
        <f>SUM(C22:T22)</f>
        <v>1000</v>
      </c>
      <c r="V22" s="424"/>
      <c r="W22" s="424">
        <f>U22</f>
        <v>1000</v>
      </c>
    </row>
    <row r="23" spans="1:25" s="397" customFormat="1" ht="11.5">
      <c r="A23" s="397" t="s">
        <v>413</v>
      </c>
      <c r="B23" s="425" t="s">
        <v>403</v>
      </c>
      <c r="C23" s="426">
        <f>SUM(C21:C22)</f>
        <v>32393.814321439997</v>
      </c>
      <c r="D23" s="426">
        <f t="shared" ref="D23:S23" si="0">SUM(D21:D22)</f>
        <v>14281.099975200001</v>
      </c>
      <c r="E23" s="426">
        <f t="shared" si="0"/>
        <v>0</v>
      </c>
      <c r="F23" s="426">
        <f t="shared" si="0"/>
        <v>4327.4130475234042</v>
      </c>
      <c r="G23" s="427">
        <f t="shared" si="0"/>
        <v>0</v>
      </c>
      <c r="H23" s="428"/>
      <c r="I23" s="429">
        <f t="shared" si="0"/>
        <v>64287.628642879994</v>
      </c>
      <c r="J23" s="426">
        <f t="shared" si="0"/>
        <v>28562.199950400001</v>
      </c>
      <c r="K23" s="426">
        <f t="shared" si="0"/>
        <v>0</v>
      </c>
      <c r="L23" s="426">
        <f t="shared" si="0"/>
        <v>0</v>
      </c>
      <c r="M23" s="426">
        <f t="shared" si="0"/>
        <v>0</v>
      </c>
      <c r="N23" s="428"/>
      <c r="O23" s="426">
        <f t="shared" si="0"/>
        <v>0</v>
      </c>
      <c r="P23" s="426">
        <f t="shared" si="0"/>
        <v>0</v>
      </c>
      <c r="Q23" s="426">
        <f t="shared" si="0"/>
        <v>0</v>
      </c>
      <c r="R23" s="426">
        <f t="shared" si="0"/>
        <v>0</v>
      </c>
      <c r="S23" s="426">
        <f t="shared" si="0"/>
        <v>0</v>
      </c>
      <c r="U23" s="430">
        <f>SUM(U21:U22)</f>
        <v>143852.1559374434</v>
      </c>
      <c r="V23" s="430">
        <f>SUM(V21:V22)</f>
        <v>0</v>
      </c>
      <c r="W23" s="430">
        <f>SUM(W21:W22)</f>
        <v>143852.1559374434</v>
      </c>
    </row>
    <row r="24" spans="1:25" s="397" customFormat="1" ht="11.5">
      <c r="B24" s="431"/>
      <c r="C24" s="432"/>
      <c r="D24" s="432"/>
      <c r="E24" s="432"/>
      <c r="F24" s="432"/>
      <c r="G24" s="432"/>
      <c r="H24" s="433"/>
      <c r="I24" s="432"/>
      <c r="J24" s="432"/>
      <c r="K24" s="432"/>
      <c r="L24" s="432"/>
      <c r="M24" s="432"/>
      <c r="N24" s="433"/>
      <c r="O24" s="434"/>
      <c r="P24" s="432"/>
      <c r="Q24" s="432"/>
      <c r="R24" s="432"/>
      <c r="S24" s="432"/>
      <c r="T24" s="432"/>
      <c r="U24" s="432"/>
      <c r="V24" s="432"/>
      <c r="W24" s="432"/>
      <c r="X24" s="432"/>
      <c r="Y24" s="432"/>
    </row>
    <row r="25" spans="1:25" s="397" customFormat="1" ht="11.5">
      <c r="B25" s="398" t="s">
        <v>457</v>
      </c>
      <c r="C25" s="399" t="s">
        <v>445</v>
      </c>
      <c r="D25" s="399" t="s">
        <v>445</v>
      </c>
      <c r="E25" s="399" t="s">
        <v>445</v>
      </c>
      <c r="F25" s="399" t="s">
        <v>212</v>
      </c>
      <c r="G25" s="400" t="s">
        <v>212</v>
      </c>
      <c r="H25" s="401"/>
      <c r="I25" s="399" t="s">
        <v>445</v>
      </c>
      <c r="J25" s="399" t="s">
        <v>445</v>
      </c>
      <c r="K25" s="399" t="s">
        <v>445</v>
      </c>
      <c r="L25" s="399" t="s">
        <v>212</v>
      </c>
      <c r="M25" s="400" t="s">
        <v>212</v>
      </c>
      <c r="N25" s="401"/>
      <c r="O25" s="399" t="s">
        <v>445</v>
      </c>
      <c r="P25" s="399" t="s">
        <v>445</v>
      </c>
      <c r="Q25" s="399" t="s">
        <v>445</v>
      </c>
      <c r="R25" s="399" t="s">
        <v>212</v>
      </c>
      <c r="S25" s="400" t="s">
        <v>212</v>
      </c>
      <c r="U25" s="435" t="s">
        <v>413</v>
      </c>
      <c r="V25" s="436" t="s">
        <v>412</v>
      </c>
      <c r="W25" s="436" t="s">
        <v>414</v>
      </c>
    </row>
    <row r="26" spans="1:25" s="397" customFormat="1" ht="11.5">
      <c r="B26" s="404" t="s">
        <v>482</v>
      </c>
      <c r="C26" s="405">
        <v>3</v>
      </c>
      <c r="D26" s="405">
        <v>0</v>
      </c>
      <c r="E26" s="405"/>
      <c r="F26" s="405">
        <v>25</v>
      </c>
      <c r="G26" s="406"/>
      <c r="H26" s="407"/>
      <c r="I26" s="408">
        <v>6</v>
      </c>
      <c r="J26" s="405">
        <v>0</v>
      </c>
      <c r="K26" s="405"/>
      <c r="L26" s="405"/>
      <c r="M26" s="406"/>
      <c r="N26" s="407"/>
      <c r="O26" s="409"/>
      <c r="P26" s="405"/>
      <c r="Q26" s="405"/>
      <c r="R26" s="405"/>
      <c r="S26" s="405"/>
      <c r="U26" s="403"/>
      <c r="V26" s="403"/>
      <c r="W26" s="403"/>
    </row>
    <row r="27" spans="1:25" s="397" customFormat="1" ht="23">
      <c r="B27" s="404" t="s">
        <v>489</v>
      </c>
      <c r="C27" s="410" t="s">
        <v>441</v>
      </c>
      <c r="D27" s="411"/>
      <c r="E27" s="411"/>
      <c r="F27" s="411" t="s">
        <v>443</v>
      </c>
      <c r="G27" s="412"/>
      <c r="H27" s="413"/>
      <c r="I27" s="410" t="s">
        <v>441</v>
      </c>
      <c r="J27" s="411"/>
      <c r="K27" s="411"/>
      <c r="L27" s="411"/>
      <c r="M27" s="412"/>
      <c r="N27" s="413"/>
      <c r="O27" s="414"/>
      <c r="P27" s="411"/>
      <c r="Q27" s="411"/>
      <c r="R27" s="411"/>
      <c r="S27" s="411"/>
      <c r="U27" s="402"/>
      <c r="V27" s="403"/>
      <c r="W27" s="402"/>
    </row>
    <row r="28" spans="1:25" s="397" customFormat="1" ht="25.5" customHeight="1">
      <c r="B28" s="404" t="s">
        <v>430</v>
      </c>
      <c r="C28" s="340" t="s">
        <v>431</v>
      </c>
      <c r="D28" s="337"/>
      <c r="E28" s="337"/>
      <c r="F28" s="337" t="s">
        <v>431</v>
      </c>
      <c r="G28" s="357"/>
      <c r="H28" s="394"/>
      <c r="I28" s="340" t="s">
        <v>431</v>
      </c>
      <c r="J28" s="337"/>
      <c r="K28" s="337"/>
      <c r="L28" s="337"/>
      <c r="M28" s="357"/>
      <c r="N28" s="394"/>
      <c r="O28" s="358"/>
      <c r="P28" s="337"/>
      <c r="Q28" s="337"/>
      <c r="R28" s="337"/>
      <c r="S28" s="337"/>
      <c r="U28" s="403"/>
      <c r="V28" s="403"/>
      <c r="W28" s="403"/>
    </row>
    <row r="29" spans="1:25" s="397" customFormat="1" ht="11.5">
      <c r="B29" s="404" t="s">
        <v>436</v>
      </c>
      <c r="C29" s="340" t="s">
        <v>439</v>
      </c>
      <c r="D29" s="337"/>
      <c r="E29" s="337"/>
      <c r="F29" s="337" t="s">
        <v>442</v>
      </c>
      <c r="G29" s="357"/>
      <c r="H29" s="394"/>
      <c r="I29" s="340" t="s">
        <v>439</v>
      </c>
      <c r="J29" s="337"/>
      <c r="K29" s="337"/>
      <c r="L29" s="337"/>
      <c r="M29" s="357"/>
      <c r="N29" s="394"/>
      <c r="O29" s="358"/>
      <c r="P29" s="337"/>
      <c r="Q29" s="337"/>
      <c r="R29" s="337"/>
      <c r="S29" s="337"/>
      <c r="U29" s="402"/>
      <c r="V29" s="403"/>
      <c r="W29" s="402"/>
    </row>
    <row r="30" spans="1:25" s="397" customFormat="1" ht="11.5">
      <c r="B30" s="404" t="s">
        <v>1</v>
      </c>
      <c r="C30" s="415" t="s">
        <v>18</v>
      </c>
      <c r="D30" s="416"/>
      <c r="E30" s="416"/>
      <c r="F30" s="416" t="s">
        <v>16</v>
      </c>
      <c r="G30" s="417"/>
      <c r="H30" s="418"/>
      <c r="I30" s="415" t="s">
        <v>18</v>
      </c>
      <c r="J30" s="416"/>
      <c r="K30" s="416"/>
      <c r="L30" s="416"/>
      <c r="M30" s="417"/>
      <c r="N30" s="418"/>
      <c r="O30" s="419"/>
      <c r="P30" s="416"/>
      <c r="Q30" s="416"/>
      <c r="R30" s="416"/>
      <c r="S30" s="416"/>
      <c r="U30" s="403"/>
      <c r="V30" s="403"/>
      <c r="W30" s="403"/>
    </row>
    <row r="31" spans="1:25" s="397" customFormat="1" ht="11.5">
      <c r="B31" s="404" t="s">
        <v>54</v>
      </c>
      <c r="C31" s="420">
        <f>C26*(_xlfn.XLOOKUP(C30,AfC!$CD$71:$CD$83,AfC!$CG$71:$CG$83,0,0,1))</f>
        <v>21421.649962800002</v>
      </c>
      <c r="D31" s="420">
        <f>D26*(_xlfn.XLOOKUP(D30,AfC!$CD$71:$CD$83,AfC!$CG$71:$CG$83,0,0,1))</f>
        <v>0</v>
      </c>
      <c r="E31" s="420">
        <f>E26*(_xlfn.XLOOKUP(E30,AfC!$CD$71:$CD$83,AfC!$CG$71:$CG$83,0,0,1))</f>
        <v>0</v>
      </c>
      <c r="F31" s="420">
        <f>F26*(_xlfn.XLOOKUP(F30,AfC!$CD$71:$CD$83,AfC!$CF$71:$CF$83,0,0,1))</f>
        <v>7539.908823035461</v>
      </c>
      <c r="G31" s="420"/>
      <c r="H31" s="421"/>
      <c r="I31" s="422">
        <f>I26*(_xlfn.XLOOKUP(I30,AfC!$CD$71:$CD$83,AfC!$CG$71:$CG$83,0,0,1))</f>
        <v>42843.299925600004</v>
      </c>
      <c r="J31" s="420">
        <f>J26*(_xlfn.XLOOKUP(J30,AfC!$CD$71:$CD$83,AfC!$CG$71:$CG$83,0,0,1))</f>
        <v>0</v>
      </c>
      <c r="K31" s="420">
        <f>K26*(_xlfn.XLOOKUP(K30,AfC!$CD$71:$CD$83,AfC!$CG$71:$CG$83,0,0,1))</f>
        <v>0</v>
      </c>
      <c r="L31" s="420">
        <f>L26*(_xlfn.XLOOKUP(L30,AfC!$CD$71:$CD$83,AfC!$CF$71:$CF$83,0,0,1))</f>
        <v>0</v>
      </c>
      <c r="M31" s="420"/>
      <c r="N31" s="421"/>
      <c r="O31" s="423">
        <f>O26*(_xlfn.XLOOKUP(O30,AfC!$CD$71:$CD$83,AfC!$CG$71:$CG$83,0,0,1))</f>
        <v>0</v>
      </c>
      <c r="P31" s="420">
        <f>P26*(_xlfn.XLOOKUP(P30,AfC!$CD$71:$CD$83,AfC!$CG$71:$CG$83,0,0,1))</f>
        <v>0</v>
      </c>
      <c r="Q31" s="420">
        <f>Q26*(_xlfn.XLOOKUP(Q30,AfC!$CD$71:$CD$83,AfC!$CG$71:$CG$83,0,0,1))</f>
        <v>0</v>
      </c>
      <c r="R31" s="420">
        <f>R26*(_xlfn.XLOOKUP(R30,AfC!$CD$71:$CD$83,AfC!$CF$71:$CF$83,0,0,1))</f>
        <v>0</v>
      </c>
      <c r="S31" s="420"/>
      <c r="U31" s="403"/>
      <c r="V31" s="424">
        <f>SUM(C31:S31)</f>
        <v>71804.85871143546</v>
      </c>
      <c r="W31" s="424">
        <f>V31</f>
        <v>71804.85871143546</v>
      </c>
    </row>
    <row r="32" spans="1:25" s="397" customFormat="1" ht="11.5">
      <c r="B32" s="404" t="s">
        <v>424</v>
      </c>
      <c r="C32" s="517">
        <v>500</v>
      </c>
      <c r="D32" s="517"/>
      <c r="E32" s="517"/>
      <c r="F32" s="517"/>
      <c r="G32" s="517"/>
      <c r="H32" s="421"/>
      <c r="I32" s="517">
        <v>500</v>
      </c>
      <c r="J32" s="517"/>
      <c r="K32" s="517"/>
      <c r="L32" s="517"/>
      <c r="M32" s="517"/>
      <c r="N32" s="421"/>
      <c r="O32" s="517"/>
      <c r="P32" s="517"/>
      <c r="Q32" s="517"/>
      <c r="R32" s="517"/>
      <c r="S32" s="517"/>
      <c r="U32" s="403"/>
      <c r="V32" s="424">
        <f>SUM(C32:S32)</f>
        <v>1000</v>
      </c>
      <c r="W32" s="424">
        <f>V32</f>
        <v>1000</v>
      </c>
    </row>
    <row r="33" spans="1:23" s="397" customFormat="1" ht="11.5">
      <c r="A33" s="397" t="s">
        <v>412</v>
      </c>
      <c r="B33" s="425" t="s">
        <v>403</v>
      </c>
      <c r="C33" s="426">
        <f>SUM(C31:C32)</f>
        <v>21921.649962800002</v>
      </c>
      <c r="D33" s="426">
        <f t="shared" ref="D33:S33" si="1">SUM(D31:D32)</f>
        <v>0</v>
      </c>
      <c r="E33" s="426">
        <f t="shared" si="1"/>
        <v>0</v>
      </c>
      <c r="F33" s="426">
        <f t="shared" si="1"/>
        <v>7539.908823035461</v>
      </c>
      <c r="G33" s="427">
        <f t="shared" si="1"/>
        <v>0</v>
      </c>
      <c r="H33" s="428"/>
      <c r="I33" s="429">
        <f t="shared" si="1"/>
        <v>43343.299925600004</v>
      </c>
      <c r="J33" s="426">
        <f t="shared" si="1"/>
        <v>0</v>
      </c>
      <c r="K33" s="426">
        <f t="shared" si="1"/>
        <v>0</v>
      </c>
      <c r="L33" s="426">
        <f t="shared" si="1"/>
        <v>0</v>
      </c>
      <c r="M33" s="426">
        <f t="shared" si="1"/>
        <v>0</v>
      </c>
      <c r="N33" s="428"/>
      <c r="O33" s="426">
        <f t="shared" si="1"/>
        <v>0</v>
      </c>
      <c r="P33" s="426">
        <f t="shared" si="1"/>
        <v>0</v>
      </c>
      <c r="Q33" s="426">
        <f t="shared" si="1"/>
        <v>0</v>
      </c>
      <c r="R33" s="426">
        <f t="shared" si="1"/>
        <v>0</v>
      </c>
      <c r="S33" s="426">
        <f t="shared" si="1"/>
        <v>0</v>
      </c>
      <c r="U33" s="437"/>
      <c r="V33" s="430">
        <f>SUM(C33:S33)</f>
        <v>72804.85871143546</v>
      </c>
      <c r="W33" s="430">
        <f>SUM(W31:W32)</f>
        <v>72804.85871143546</v>
      </c>
    </row>
    <row r="34" spans="1:23" s="397" customFormat="1" ht="11.5">
      <c r="B34" s="438"/>
      <c r="C34" s="439"/>
      <c r="D34" s="439"/>
      <c r="E34" s="440"/>
      <c r="F34" s="441"/>
      <c r="G34" s="441"/>
      <c r="H34" s="442"/>
      <c r="I34" s="443"/>
      <c r="J34" s="443"/>
      <c r="K34" s="443"/>
      <c r="L34" s="444"/>
      <c r="M34" s="444"/>
      <c r="N34" s="442"/>
      <c r="O34" s="445"/>
      <c r="P34" s="446"/>
      <c r="Q34" s="446"/>
      <c r="R34" s="446"/>
      <c r="S34" s="446"/>
      <c r="U34" s="446"/>
      <c r="V34" s="446"/>
      <c r="W34" s="446"/>
    </row>
    <row r="35" spans="1:23" s="397" customFormat="1" ht="24.5" customHeight="1">
      <c r="B35" s="447" t="s">
        <v>42</v>
      </c>
      <c r="C35" s="448" t="s">
        <v>46</v>
      </c>
      <c r="D35" s="449" t="s">
        <v>43</v>
      </c>
      <c r="E35" s="449" t="s">
        <v>44</v>
      </c>
      <c r="F35" s="450" t="s">
        <v>404</v>
      </c>
      <c r="G35" s="451" t="s">
        <v>45</v>
      </c>
      <c r="H35" s="452"/>
      <c r="I35" s="453" t="s">
        <v>46</v>
      </c>
      <c r="J35" s="449" t="s">
        <v>43</v>
      </c>
      <c r="K35" s="449" t="s">
        <v>44</v>
      </c>
      <c r="L35" s="450" t="s">
        <v>404</v>
      </c>
      <c r="M35" s="451" t="s">
        <v>45</v>
      </c>
      <c r="N35" s="452"/>
      <c r="O35" s="448" t="s">
        <v>46</v>
      </c>
      <c r="P35" s="449" t="s">
        <v>43</v>
      </c>
      <c r="Q35" s="449" t="s">
        <v>44</v>
      </c>
      <c r="R35" s="450" t="s">
        <v>404</v>
      </c>
      <c r="S35" s="454" t="s">
        <v>45</v>
      </c>
      <c r="U35" s="435" t="s">
        <v>413</v>
      </c>
      <c r="V35" s="436" t="s">
        <v>412</v>
      </c>
      <c r="W35" s="436" t="s">
        <v>414</v>
      </c>
    </row>
    <row r="36" spans="1:23" s="397" customFormat="1" ht="11.5">
      <c r="B36" s="455" t="s">
        <v>58</v>
      </c>
      <c r="C36" s="456"/>
      <c r="D36" s="457"/>
      <c r="E36" s="458">
        <v>500</v>
      </c>
      <c r="F36" s="459">
        <v>10</v>
      </c>
      <c r="G36" s="460">
        <f>F36*E36</f>
        <v>5000</v>
      </c>
      <c r="H36" s="461"/>
      <c r="I36" s="462"/>
      <c r="J36" s="457"/>
      <c r="K36" s="458">
        <v>500</v>
      </c>
      <c r="L36" s="459">
        <v>20</v>
      </c>
      <c r="M36" s="460">
        <f>L36*K36</f>
        <v>10000</v>
      </c>
      <c r="N36" s="461"/>
      <c r="O36" s="456"/>
      <c r="P36" s="457"/>
      <c r="Q36" s="458">
        <v>0</v>
      </c>
      <c r="R36" s="459"/>
      <c r="S36" s="463">
        <f>R36*Q36</f>
        <v>0</v>
      </c>
      <c r="T36" s="464"/>
      <c r="U36" s="465"/>
      <c r="V36" s="465">
        <f>SUM(S36+M36+G36)</f>
        <v>15000</v>
      </c>
      <c r="W36" s="466">
        <f>V36</f>
        <v>15000</v>
      </c>
    </row>
    <row r="37" spans="1:23" s="397" customFormat="1" ht="11.5">
      <c r="B37" s="455" t="s">
        <v>59</v>
      </c>
      <c r="C37" s="456"/>
      <c r="D37" s="457"/>
      <c r="E37" s="458">
        <v>54</v>
      </c>
      <c r="F37" s="459">
        <v>2</v>
      </c>
      <c r="G37" s="460">
        <f>F37*E37</f>
        <v>108</v>
      </c>
      <c r="H37" s="461"/>
      <c r="I37" s="462"/>
      <c r="J37" s="457"/>
      <c r="K37" s="458">
        <v>54</v>
      </c>
      <c r="L37" s="459">
        <v>3</v>
      </c>
      <c r="M37" s="460">
        <f>L37*K37</f>
        <v>162</v>
      </c>
      <c r="N37" s="461"/>
      <c r="O37" s="456"/>
      <c r="P37" s="457"/>
      <c r="Q37" s="458">
        <v>0</v>
      </c>
      <c r="R37" s="459"/>
      <c r="S37" s="463">
        <f>R37*Q37</f>
        <v>0</v>
      </c>
      <c r="T37" s="464"/>
      <c r="U37" s="465"/>
      <c r="V37" s="465">
        <f t="shared" ref="V37:V58" si="2">SUM(S37+M37+G37)</f>
        <v>270</v>
      </c>
      <c r="W37" s="466">
        <f t="shared" ref="W37:W58" si="3">V37</f>
        <v>270</v>
      </c>
    </row>
    <row r="38" spans="1:23" s="397" customFormat="1" ht="11.5">
      <c r="B38" s="455" t="s">
        <v>248</v>
      </c>
      <c r="C38" s="456"/>
      <c r="D38" s="457"/>
      <c r="E38" s="458">
        <v>25</v>
      </c>
      <c r="F38" s="459">
        <v>3</v>
      </c>
      <c r="G38" s="460">
        <f>F38*E38</f>
        <v>75</v>
      </c>
      <c r="H38" s="461"/>
      <c r="I38" s="462"/>
      <c r="J38" s="457"/>
      <c r="K38" s="458">
        <v>25</v>
      </c>
      <c r="L38" s="459">
        <v>3</v>
      </c>
      <c r="M38" s="460">
        <f>L38*K38</f>
        <v>75</v>
      </c>
      <c r="N38" s="461"/>
      <c r="O38" s="456"/>
      <c r="P38" s="457"/>
      <c r="Q38" s="458">
        <v>0</v>
      </c>
      <c r="R38" s="459"/>
      <c r="S38" s="463">
        <f>R38*Q38</f>
        <v>0</v>
      </c>
      <c r="T38" s="464"/>
      <c r="U38" s="465"/>
      <c r="V38" s="465">
        <f t="shared" si="2"/>
        <v>150</v>
      </c>
      <c r="W38" s="466">
        <f t="shared" si="3"/>
        <v>150</v>
      </c>
    </row>
    <row r="39" spans="1:23" s="397" customFormat="1" ht="11.5">
      <c r="B39" s="455" t="s">
        <v>249</v>
      </c>
      <c r="C39" s="456"/>
      <c r="D39" s="457"/>
      <c r="E39" s="458">
        <v>15</v>
      </c>
      <c r="F39" s="459">
        <v>1</v>
      </c>
      <c r="G39" s="460">
        <f>F39*E39</f>
        <v>15</v>
      </c>
      <c r="H39" s="461"/>
      <c r="I39" s="462"/>
      <c r="J39" s="457"/>
      <c r="K39" s="458">
        <v>15</v>
      </c>
      <c r="L39" s="459">
        <v>1</v>
      </c>
      <c r="M39" s="460">
        <f>L39*K39</f>
        <v>15</v>
      </c>
      <c r="N39" s="461"/>
      <c r="O39" s="456"/>
      <c r="P39" s="457"/>
      <c r="Q39" s="458">
        <v>0</v>
      </c>
      <c r="R39" s="459"/>
      <c r="S39" s="463">
        <f>R39*Q39</f>
        <v>0</v>
      </c>
      <c r="T39" s="464"/>
      <c r="U39" s="465"/>
      <c r="V39" s="465">
        <f t="shared" si="2"/>
        <v>30</v>
      </c>
      <c r="W39" s="466">
        <f t="shared" si="3"/>
        <v>30</v>
      </c>
    </row>
    <row r="40" spans="1:23" s="397" customFormat="1" ht="11.5">
      <c r="B40" s="455" t="s">
        <v>250</v>
      </c>
      <c r="C40" s="456"/>
      <c r="D40" s="457"/>
      <c r="E40" s="458">
        <v>7</v>
      </c>
      <c r="F40" s="459">
        <v>1</v>
      </c>
      <c r="G40" s="460">
        <f>F40*E40</f>
        <v>7</v>
      </c>
      <c r="H40" s="461"/>
      <c r="I40" s="462"/>
      <c r="J40" s="457"/>
      <c r="K40" s="458">
        <v>7</v>
      </c>
      <c r="L40" s="459">
        <v>1</v>
      </c>
      <c r="M40" s="460">
        <f>L40*K40</f>
        <v>7</v>
      </c>
      <c r="N40" s="461"/>
      <c r="O40" s="456"/>
      <c r="P40" s="457"/>
      <c r="Q40" s="458">
        <v>0</v>
      </c>
      <c r="R40" s="459"/>
      <c r="S40" s="463">
        <f>R40*Q40</f>
        <v>0</v>
      </c>
      <c r="T40" s="464"/>
      <c r="U40" s="465"/>
      <c r="V40" s="465">
        <f t="shared" si="2"/>
        <v>14</v>
      </c>
      <c r="W40" s="466">
        <f t="shared" si="3"/>
        <v>14</v>
      </c>
    </row>
    <row r="41" spans="1:23" s="397" customFormat="1" ht="11.5">
      <c r="B41" s="455" t="s">
        <v>406</v>
      </c>
      <c r="C41" s="456"/>
      <c r="D41" s="457"/>
      <c r="E41" s="458">
        <v>0</v>
      </c>
      <c r="F41" s="459"/>
      <c r="G41" s="460">
        <f t="shared" ref="G41:G58" si="4">F41*E41</f>
        <v>0</v>
      </c>
      <c r="H41" s="461"/>
      <c r="I41" s="462"/>
      <c r="J41" s="457"/>
      <c r="K41" s="458">
        <v>0</v>
      </c>
      <c r="L41" s="459"/>
      <c r="M41" s="460">
        <f t="shared" ref="M41:M58" si="5">L41*K41</f>
        <v>0</v>
      </c>
      <c r="N41" s="461"/>
      <c r="O41" s="456"/>
      <c r="P41" s="457"/>
      <c r="Q41" s="458">
        <v>0</v>
      </c>
      <c r="R41" s="459"/>
      <c r="S41" s="463">
        <f t="shared" ref="S41:S58" si="6">R41*Q41</f>
        <v>0</v>
      </c>
      <c r="T41" s="464"/>
      <c r="U41" s="465"/>
      <c r="V41" s="465">
        <f t="shared" si="2"/>
        <v>0</v>
      </c>
      <c r="W41" s="466">
        <f t="shared" si="3"/>
        <v>0</v>
      </c>
    </row>
    <row r="42" spans="1:23" s="397" customFormat="1" ht="11.5">
      <c r="B42" s="455" t="s">
        <v>407</v>
      </c>
      <c r="C42" s="456"/>
      <c r="D42" s="457"/>
      <c r="E42" s="458">
        <v>0</v>
      </c>
      <c r="F42" s="459"/>
      <c r="G42" s="460">
        <f t="shared" si="4"/>
        <v>0</v>
      </c>
      <c r="H42" s="461"/>
      <c r="I42" s="462"/>
      <c r="J42" s="457"/>
      <c r="K42" s="458">
        <v>0</v>
      </c>
      <c r="L42" s="459"/>
      <c r="M42" s="460">
        <f t="shared" si="5"/>
        <v>0</v>
      </c>
      <c r="N42" s="461"/>
      <c r="O42" s="456"/>
      <c r="P42" s="457"/>
      <c r="Q42" s="458">
        <v>0</v>
      </c>
      <c r="R42" s="459"/>
      <c r="S42" s="463">
        <f t="shared" si="6"/>
        <v>0</v>
      </c>
      <c r="T42" s="464"/>
      <c r="U42" s="465"/>
      <c r="V42" s="465">
        <f t="shared" si="2"/>
        <v>0</v>
      </c>
      <c r="W42" s="466">
        <f t="shared" si="3"/>
        <v>0</v>
      </c>
    </row>
    <row r="43" spans="1:23" s="397" customFormat="1" ht="11.5">
      <c r="B43" s="455" t="s">
        <v>408</v>
      </c>
      <c r="C43" s="456"/>
      <c r="D43" s="467"/>
      <c r="E43" s="458">
        <v>0</v>
      </c>
      <c r="F43" s="459"/>
      <c r="G43" s="460">
        <f t="shared" si="4"/>
        <v>0</v>
      </c>
      <c r="H43" s="461"/>
      <c r="I43" s="462"/>
      <c r="J43" s="467"/>
      <c r="K43" s="458">
        <v>0</v>
      </c>
      <c r="L43" s="459"/>
      <c r="M43" s="460">
        <f t="shared" si="5"/>
        <v>0</v>
      </c>
      <c r="N43" s="461"/>
      <c r="O43" s="456"/>
      <c r="P43" s="467"/>
      <c r="Q43" s="458">
        <v>0</v>
      </c>
      <c r="R43" s="459"/>
      <c r="S43" s="463">
        <f t="shared" si="6"/>
        <v>0</v>
      </c>
      <c r="T43" s="464"/>
      <c r="U43" s="465"/>
      <c r="V43" s="465">
        <f t="shared" si="2"/>
        <v>0</v>
      </c>
      <c r="W43" s="466">
        <f t="shared" si="3"/>
        <v>0</v>
      </c>
    </row>
    <row r="44" spans="1:23" s="397" customFormat="1" ht="11.5">
      <c r="B44" s="455" t="s">
        <v>409</v>
      </c>
      <c r="C44" s="456"/>
      <c r="D44" s="457"/>
      <c r="E44" s="458">
        <v>0</v>
      </c>
      <c r="F44" s="459"/>
      <c r="G44" s="460">
        <f t="shared" si="4"/>
        <v>0</v>
      </c>
      <c r="H44" s="461"/>
      <c r="I44" s="462"/>
      <c r="J44" s="457"/>
      <c r="K44" s="458">
        <v>0</v>
      </c>
      <c r="L44" s="459"/>
      <c r="M44" s="460">
        <f t="shared" si="5"/>
        <v>0</v>
      </c>
      <c r="N44" s="461"/>
      <c r="O44" s="456"/>
      <c r="P44" s="457"/>
      <c r="Q44" s="458">
        <v>0</v>
      </c>
      <c r="R44" s="459"/>
      <c r="S44" s="463">
        <f t="shared" si="6"/>
        <v>0</v>
      </c>
      <c r="T44" s="464"/>
      <c r="U44" s="465"/>
      <c r="V44" s="465">
        <f t="shared" si="2"/>
        <v>0</v>
      </c>
      <c r="W44" s="466">
        <f t="shared" si="3"/>
        <v>0</v>
      </c>
    </row>
    <row r="45" spans="1:23" s="397" customFormat="1" ht="11.5">
      <c r="B45" s="455" t="s">
        <v>410</v>
      </c>
      <c r="C45" s="456"/>
      <c r="D45" s="457"/>
      <c r="E45" s="458">
        <v>0</v>
      </c>
      <c r="F45" s="459"/>
      <c r="G45" s="460">
        <f t="shared" si="4"/>
        <v>0</v>
      </c>
      <c r="H45" s="461"/>
      <c r="I45" s="462"/>
      <c r="J45" s="457"/>
      <c r="K45" s="458">
        <v>0</v>
      </c>
      <c r="L45" s="459"/>
      <c r="M45" s="460">
        <f t="shared" si="5"/>
        <v>0</v>
      </c>
      <c r="N45" s="461"/>
      <c r="O45" s="456"/>
      <c r="P45" s="457"/>
      <c r="Q45" s="458">
        <v>0</v>
      </c>
      <c r="R45" s="459"/>
      <c r="S45" s="463">
        <f t="shared" si="6"/>
        <v>0</v>
      </c>
      <c r="T45" s="464"/>
      <c r="U45" s="465"/>
      <c r="V45" s="465">
        <f t="shared" si="2"/>
        <v>0</v>
      </c>
      <c r="W45" s="466">
        <f t="shared" si="3"/>
        <v>0</v>
      </c>
    </row>
    <row r="46" spans="1:23" s="397" customFormat="1" ht="11.5" hidden="1" outlineLevel="1">
      <c r="B46" s="455" t="s">
        <v>411</v>
      </c>
      <c r="C46" s="456"/>
      <c r="D46" s="457"/>
      <c r="E46" s="458">
        <v>0</v>
      </c>
      <c r="F46" s="459"/>
      <c r="G46" s="460">
        <f t="shared" si="4"/>
        <v>0</v>
      </c>
      <c r="H46" s="461"/>
      <c r="I46" s="462"/>
      <c r="J46" s="457"/>
      <c r="K46" s="458">
        <v>0</v>
      </c>
      <c r="L46" s="459"/>
      <c r="M46" s="460">
        <f t="shared" si="5"/>
        <v>0</v>
      </c>
      <c r="N46" s="461"/>
      <c r="O46" s="456"/>
      <c r="P46" s="457"/>
      <c r="Q46" s="458">
        <v>0</v>
      </c>
      <c r="R46" s="459"/>
      <c r="S46" s="463">
        <f t="shared" si="6"/>
        <v>0</v>
      </c>
      <c r="T46" s="464"/>
      <c r="U46" s="465"/>
      <c r="V46" s="465">
        <f t="shared" si="2"/>
        <v>0</v>
      </c>
      <c r="W46" s="466">
        <f t="shared" si="3"/>
        <v>0</v>
      </c>
    </row>
    <row r="47" spans="1:23" s="397" customFormat="1" ht="11.5" hidden="1" outlineLevel="1">
      <c r="B47" s="455" t="s">
        <v>411</v>
      </c>
      <c r="C47" s="456"/>
      <c r="D47" s="457"/>
      <c r="E47" s="458">
        <v>0</v>
      </c>
      <c r="F47" s="459"/>
      <c r="G47" s="460">
        <f t="shared" si="4"/>
        <v>0</v>
      </c>
      <c r="H47" s="461"/>
      <c r="I47" s="462"/>
      <c r="J47" s="457"/>
      <c r="K47" s="458">
        <v>0</v>
      </c>
      <c r="L47" s="459"/>
      <c r="M47" s="460">
        <f t="shared" si="5"/>
        <v>0</v>
      </c>
      <c r="N47" s="461"/>
      <c r="O47" s="456"/>
      <c r="P47" s="457"/>
      <c r="Q47" s="458">
        <v>0</v>
      </c>
      <c r="R47" s="459"/>
      <c r="S47" s="463">
        <f t="shared" si="6"/>
        <v>0</v>
      </c>
      <c r="T47" s="464"/>
      <c r="U47" s="465"/>
      <c r="V47" s="465">
        <f t="shared" si="2"/>
        <v>0</v>
      </c>
      <c r="W47" s="466">
        <f t="shared" si="3"/>
        <v>0</v>
      </c>
    </row>
    <row r="48" spans="1:23" s="397" customFormat="1" ht="11.5" hidden="1" outlineLevel="1">
      <c r="B48" s="455" t="s">
        <v>471</v>
      </c>
      <c r="C48" s="456"/>
      <c r="D48" s="457"/>
      <c r="E48" s="458">
        <v>0</v>
      </c>
      <c r="F48" s="459"/>
      <c r="G48" s="460">
        <f t="shared" si="4"/>
        <v>0</v>
      </c>
      <c r="H48" s="461"/>
      <c r="I48" s="462"/>
      <c r="J48" s="457"/>
      <c r="K48" s="458">
        <v>0</v>
      </c>
      <c r="L48" s="459"/>
      <c r="M48" s="460">
        <f t="shared" si="5"/>
        <v>0</v>
      </c>
      <c r="N48" s="461"/>
      <c r="O48" s="456"/>
      <c r="P48" s="457"/>
      <c r="Q48" s="458">
        <v>0</v>
      </c>
      <c r="R48" s="459"/>
      <c r="S48" s="463">
        <f t="shared" si="6"/>
        <v>0</v>
      </c>
      <c r="T48" s="464"/>
      <c r="U48" s="465"/>
      <c r="V48" s="465">
        <f t="shared" si="2"/>
        <v>0</v>
      </c>
      <c r="W48" s="466">
        <f t="shared" si="3"/>
        <v>0</v>
      </c>
    </row>
    <row r="49" spans="1:23" s="397" customFormat="1" ht="11.5" hidden="1" outlineLevel="1">
      <c r="B49" s="455" t="s">
        <v>472</v>
      </c>
      <c r="C49" s="456"/>
      <c r="D49" s="457"/>
      <c r="E49" s="458">
        <v>0</v>
      </c>
      <c r="F49" s="459"/>
      <c r="G49" s="460">
        <f t="shared" si="4"/>
        <v>0</v>
      </c>
      <c r="H49" s="461"/>
      <c r="I49" s="462"/>
      <c r="J49" s="457"/>
      <c r="K49" s="458">
        <v>0</v>
      </c>
      <c r="L49" s="459"/>
      <c r="M49" s="460">
        <f t="shared" si="5"/>
        <v>0</v>
      </c>
      <c r="N49" s="461"/>
      <c r="O49" s="456"/>
      <c r="P49" s="457"/>
      <c r="Q49" s="458">
        <v>0</v>
      </c>
      <c r="R49" s="459"/>
      <c r="S49" s="463">
        <f t="shared" si="6"/>
        <v>0</v>
      </c>
      <c r="T49" s="464"/>
      <c r="U49" s="465"/>
      <c r="V49" s="465">
        <f t="shared" si="2"/>
        <v>0</v>
      </c>
      <c r="W49" s="466">
        <f t="shared" si="3"/>
        <v>0</v>
      </c>
    </row>
    <row r="50" spans="1:23" s="397" customFormat="1" ht="11.5" hidden="1" outlineLevel="1">
      <c r="B50" s="455" t="s">
        <v>473</v>
      </c>
      <c r="C50" s="456"/>
      <c r="D50" s="457"/>
      <c r="E50" s="458">
        <v>0</v>
      </c>
      <c r="F50" s="459"/>
      <c r="G50" s="460">
        <f t="shared" si="4"/>
        <v>0</v>
      </c>
      <c r="H50" s="461"/>
      <c r="I50" s="462"/>
      <c r="J50" s="457"/>
      <c r="K50" s="458">
        <v>0</v>
      </c>
      <c r="L50" s="459"/>
      <c r="M50" s="460">
        <f t="shared" si="5"/>
        <v>0</v>
      </c>
      <c r="N50" s="461"/>
      <c r="O50" s="456"/>
      <c r="P50" s="457"/>
      <c r="Q50" s="458">
        <v>0</v>
      </c>
      <c r="R50" s="459"/>
      <c r="S50" s="463">
        <f t="shared" si="6"/>
        <v>0</v>
      </c>
      <c r="T50" s="464"/>
      <c r="U50" s="465"/>
      <c r="V50" s="465">
        <f t="shared" si="2"/>
        <v>0</v>
      </c>
      <c r="W50" s="466">
        <f t="shared" si="3"/>
        <v>0</v>
      </c>
    </row>
    <row r="51" spans="1:23" s="397" customFormat="1" ht="11.5" hidden="1" outlineLevel="1">
      <c r="B51" s="455" t="s">
        <v>474</v>
      </c>
      <c r="C51" s="456"/>
      <c r="D51" s="457"/>
      <c r="E51" s="458">
        <v>0</v>
      </c>
      <c r="F51" s="459"/>
      <c r="G51" s="460">
        <f t="shared" si="4"/>
        <v>0</v>
      </c>
      <c r="H51" s="461"/>
      <c r="I51" s="462"/>
      <c r="J51" s="457"/>
      <c r="K51" s="458">
        <v>0</v>
      </c>
      <c r="L51" s="459"/>
      <c r="M51" s="460">
        <f t="shared" si="5"/>
        <v>0</v>
      </c>
      <c r="N51" s="461"/>
      <c r="O51" s="456"/>
      <c r="P51" s="457"/>
      <c r="Q51" s="458">
        <v>0</v>
      </c>
      <c r="R51" s="459"/>
      <c r="S51" s="463">
        <f t="shared" si="6"/>
        <v>0</v>
      </c>
      <c r="T51" s="464"/>
      <c r="U51" s="465"/>
      <c r="V51" s="465">
        <f t="shared" si="2"/>
        <v>0</v>
      </c>
      <c r="W51" s="466">
        <f t="shared" si="3"/>
        <v>0</v>
      </c>
    </row>
    <row r="52" spans="1:23" s="397" customFormat="1" ht="11.5" hidden="1" outlineLevel="1">
      <c r="B52" s="455" t="s">
        <v>475</v>
      </c>
      <c r="C52" s="456"/>
      <c r="D52" s="457"/>
      <c r="E52" s="458">
        <v>0</v>
      </c>
      <c r="F52" s="459"/>
      <c r="G52" s="460">
        <f t="shared" si="4"/>
        <v>0</v>
      </c>
      <c r="H52" s="461"/>
      <c r="I52" s="462"/>
      <c r="J52" s="457"/>
      <c r="K52" s="458">
        <v>0</v>
      </c>
      <c r="L52" s="459"/>
      <c r="M52" s="460">
        <f t="shared" si="5"/>
        <v>0</v>
      </c>
      <c r="N52" s="461"/>
      <c r="O52" s="456"/>
      <c r="P52" s="457"/>
      <c r="Q52" s="458">
        <v>0</v>
      </c>
      <c r="R52" s="459"/>
      <c r="S52" s="463">
        <f t="shared" si="6"/>
        <v>0</v>
      </c>
      <c r="T52" s="464"/>
      <c r="U52" s="465"/>
      <c r="V52" s="465">
        <f t="shared" si="2"/>
        <v>0</v>
      </c>
      <c r="W52" s="466">
        <f t="shared" si="3"/>
        <v>0</v>
      </c>
    </row>
    <row r="53" spans="1:23" s="397" customFormat="1" ht="11.5" hidden="1" outlineLevel="1">
      <c r="B53" s="455" t="s">
        <v>475</v>
      </c>
      <c r="C53" s="456"/>
      <c r="D53" s="457"/>
      <c r="E53" s="458">
        <v>0</v>
      </c>
      <c r="F53" s="459"/>
      <c r="G53" s="460">
        <f t="shared" si="4"/>
        <v>0</v>
      </c>
      <c r="H53" s="461"/>
      <c r="I53" s="462"/>
      <c r="J53" s="457"/>
      <c r="K53" s="458">
        <v>0</v>
      </c>
      <c r="L53" s="459"/>
      <c r="M53" s="460">
        <f t="shared" si="5"/>
        <v>0</v>
      </c>
      <c r="N53" s="461"/>
      <c r="O53" s="456"/>
      <c r="P53" s="457"/>
      <c r="Q53" s="458">
        <v>0</v>
      </c>
      <c r="R53" s="459"/>
      <c r="S53" s="463">
        <f t="shared" si="6"/>
        <v>0</v>
      </c>
      <c r="T53" s="464"/>
      <c r="U53" s="465"/>
      <c r="V53" s="465">
        <f t="shared" si="2"/>
        <v>0</v>
      </c>
      <c r="W53" s="466">
        <f t="shared" si="3"/>
        <v>0</v>
      </c>
    </row>
    <row r="54" spans="1:23" s="397" customFormat="1" ht="11.5" hidden="1" outlineLevel="1">
      <c r="B54" s="455" t="s">
        <v>476</v>
      </c>
      <c r="C54" s="456"/>
      <c r="D54" s="457"/>
      <c r="E54" s="458">
        <v>0</v>
      </c>
      <c r="F54" s="459"/>
      <c r="G54" s="460">
        <f t="shared" si="4"/>
        <v>0</v>
      </c>
      <c r="H54" s="461"/>
      <c r="I54" s="462"/>
      <c r="J54" s="457"/>
      <c r="K54" s="458">
        <v>0</v>
      </c>
      <c r="L54" s="459"/>
      <c r="M54" s="460">
        <f t="shared" si="5"/>
        <v>0</v>
      </c>
      <c r="N54" s="461"/>
      <c r="O54" s="456"/>
      <c r="P54" s="457"/>
      <c r="Q54" s="458">
        <v>0</v>
      </c>
      <c r="R54" s="459"/>
      <c r="S54" s="463">
        <f t="shared" si="6"/>
        <v>0</v>
      </c>
      <c r="T54" s="464"/>
      <c r="U54" s="465"/>
      <c r="V54" s="465">
        <f t="shared" si="2"/>
        <v>0</v>
      </c>
      <c r="W54" s="466">
        <f t="shared" si="3"/>
        <v>0</v>
      </c>
    </row>
    <row r="55" spans="1:23" s="397" customFormat="1" ht="11.5" hidden="1" outlineLevel="1">
      <c r="B55" s="455" t="s">
        <v>477</v>
      </c>
      <c r="C55" s="456"/>
      <c r="D55" s="457"/>
      <c r="E55" s="458">
        <v>0</v>
      </c>
      <c r="F55" s="459"/>
      <c r="G55" s="460">
        <f t="shared" si="4"/>
        <v>0</v>
      </c>
      <c r="H55" s="461"/>
      <c r="I55" s="462"/>
      <c r="J55" s="457"/>
      <c r="K55" s="458">
        <v>0</v>
      </c>
      <c r="L55" s="459"/>
      <c r="M55" s="460">
        <f t="shared" si="5"/>
        <v>0</v>
      </c>
      <c r="N55" s="461"/>
      <c r="O55" s="456"/>
      <c r="P55" s="457"/>
      <c r="Q55" s="458">
        <v>0</v>
      </c>
      <c r="R55" s="459"/>
      <c r="S55" s="463">
        <f t="shared" si="6"/>
        <v>0</v>
      </c>
      <c r="T55" s="464"/>
      <c r="U55" s="465"/>
      <c r="V55" s="465">
        <f t="shared" si="2"/>
        <v>0</v>
      </c>
      <c r="W55" s="466">
        <f t="shared" si="3"/>
        <v>0</v>
      </c>
    </row>
    <row r="56" spans="1:23" s="397" customFormat="1" ht="11.5" hidden="1" outlineLevel="1">
      <c r="B56" s="455" t="s">
        <v>478</v>
      </c>
      <c r="C56" s="456"/>
      <c r="D56" s="457"/>
      <c r="E56" s="458">
        <v>0</v>
      </c>
      <c r="F56" s="459"/>
      <c r="G56" s="460">
        <f t="shared" si="4"/>
        <v>0</v>
      </c>
      <c r="H56" s="461"/>
      <c r="I56" s="462"/>
      <c r="J56" s="457"/>
      <c r="K56" s="458">
        <v>0</v>
      </c>
      <c r="L56" s="459"/>
      <c r="M56" s="460">
        <f t="shared" si="5"/>
        <v>0</v>
      </c>
      <c r="N56" s="461"/>
      <c r="O56" s="456"/>
      <c r="P56" s="457"/>
      <c r="Q56" s="458">
        <v>0</v>
      </c>
      <c r="R56" s="459"/>
      <c r="S56" s="463">
        <f t="shared" si="6"/>
        <v>0</v>
      </c>
      <c r="T56" s="464"/>
      <c r="U56" s="465"/>
      <c r="V56" s="465">
        <f t="shared" si="2"/>
        <v>0</v>
      </c>
      <c r="W56" s="466">
        <f t="shared" si="3"/>
        <v>0</v>
      </c>
    </row>
    <row r="57" spans="1:23" s="397" customFormat="1" ht="11.5" hidden="1" outlineLevel="1">
      <c r="B57" s="455" t="s">
        <v>479</v>
      </c>
      <c r="C57" s="456"/>
      <c r="D57" s="457"/>
      <c r="E57" s="458">
        <v>0</v>
      </c>
      <c r="F57" s="459"/>
      <c r="G57" s="460">
        <f t="shared" si="4"/>
        <v>0</v>
      </c>
      <c r="H57" s="461"/>
      <c r="I57" s="462"/>
      <c r="J57" s="457"/>
      <c r="K57" s="458">
        <v>0</v>
      </c>
      <c r="L57" s="459"/>
      <c r="M57" s="460">
        <f t="shared" si="5"/>
        <v>0</v>
      </c>
      <c r="N57" s="461"/>
      <c r="O57" s="456"/>
      <c r="P57" s="457"/>
      <c r="Q57" s="458">
        <v>0</v>
      </c>
      <c r="R57" s="459"/>
      <c r="S57" s="463">
        <f t="shared" si="6"/>
        <v>0</v>
      </c>
      <c r="T57" s="464"/>
      <c r="U57" s="465"/>
      <c r="V57" s="465">
        <f t="shared" si="2"/>
        <v>0</v>
      </c>
      <c r="W57" s="466">
        <f t="shared" si="3"/>
        <v>0</v>
      </c>
    </row>
    <row r="58" spans="1:23" s="397" customFormat="1" ht="11.5" collapsed="1">
      <c r="B58" s="455" t="s">
        <v>427</v>
      </c>
      <c r="C58" s="456"/>
      <c r="D58" s="468"/>
      <c r="E58" s="458">
        <v>0</v>
      </c>
      <c r="F58" s="459"/>
      <c r="G58" s="460">
        <f t="shared" si="4"/>
        <v>0</v>
      </c>
      <c r="H58" s="461"/>
      <c r="I58" s="462"/>
      <c r="J58" s="468"/>
      <c r="K58" s="458">
        <v>0</v>
      </c>
      <c r="L58" s="459"/>
      <c r="M58" s="460">
        <f t="shared" si="5"/>
        <v>0</v>
      </c>
      <c r="N58" s="461"/>
      <c r="O58" s="456"/>
      <c r="P58" s="468"/>
      <c r="Q58" s="458">
        <v>0</v>
      </c>
      <c r="R58" s="459"/>
      <c r="S58" s="463">
        <f t="shared" si="6"/>
        <v>0</v>
      </c>
      <c r="T58" s="464"/>
      <c r="U58" s="465"/>
      <c r="V58" s="465">
        <f t="shared" si="2"/>
        <v>0</v>
      </c>
      <c r="W58" s="466">
        <f t="shared" si="3"/>
        <v>0</v>
      </c>
    </row>
    <row r="59" spans="1:23" s="397" customFormat="1" ht="11.5">
      <c r="A59" s="397" t="s">
        <v>412</v>
      </c>
      <c r="B59" s="425" t="s">
        <v>269</v>
      </c>
      <c r="C59" s="469"/>
      <c r="D59" s="469"/>
      <c r="E59" s="470"/>
      <c r="F59" s="471"/>
      <c r="G59" s="472">
        <f>SUM(G36:G58)</f>
        <v>5205</v>
      </c>
      <c r="H59" s="473"/>
      <c r="I59" s="474"/>
      <c r="J59" s="469"/>
      <c r="K59" s="470"/>
      <c r="L59" s="471"/>
      <c r="M59" s="471">
        <f>SUM(M36:M58)</f>
        <v>10259</v>
      </c>
      <c r="N59" s="473"/>
      <c r="O59" s="469"/>
      <c r="P59" s="469"/>
      <c r="Q59" s="470"/>
      <c r="R59" s="471"/>
      <c r="S59" s="471">
        <f>SUM(S36:S58)</f>
        <v>0</v>
      </c>
      <c r="T59" s="464"/>
      <c r="U59" s="475"/>
      <c r="V59" s="475">
        <f>SUM(V36:V58)</f>
        <v>15464</v>
      </c>
      <c r="W59" s="475">
        <f t="shared" ref="W59" si="7">SUM(W36:W58)</f>
        <v>15464</v>
      </c>
    </row>
    <row r="60" spans="1:23" s="397" customFormat="1" ht="11.5">
      <c r="B60" s="438"/>
      <c r="C60" s="476"/>
      <c r="D60" s="476"/>
      <c r="E60" s="477"/>
      <c r="F60" s="478"/>
      <c r="G60" s="478"/>
      <c r="H60" s="479"/>
      <c r="I60" s="480"/>
      <c r="J60" s="478"/>
      <c r="K60" s="478"/>
      <c r="L60" s="478"/>
      <c r="M60" s="478"/>
      <c r="N60" s="479"/>
      <c r="O60" s="481"/>
      <c r="P60" s="478"/>
      <c r="Q60" s="478"/>
      <c r="R60" s="478"/>
      <c r="S60" s="478"/>
      <c r="U60" s="478"/>
      <c r="V60" s="478"/>
      <c r="W60" s="478"/>
    </row>
    <row r="61" spans="1:23" s="397" customFormat="1" ht="51" customHeight="1">
      <c r="B61" s="447" t="s">
        <v>462</v>
      </c>
      <c r="C61" s="482" t="s">
        <v>46</v>
      </c>
      <c r="D61" s="483" t="s">
        <v>420</v>
      </c>
      <c r="E61" s="484" t="s">
        <v>429</v>
      </c>
      <c r="F61" s="485" t="s">
        <v>55</v>
      </c>
      <c r="G61" s="485" t="s">
        <v>45</v>
      </c>
      <c r="H61" s="486"/>
      <c r="I61" s="487" t="s">
        <v>46</v>
      </c>
      <c r="J61" s="483" t="s">
        <v>420</v>
      </c>
      <c r="K61" s="484" t="s">
        <v>429</v>
      </c>
      <c r="L61" s="485" t="s">
        <v>55</v>
      </c>
      <c r="M61" s="484" t="s">
        <v>45</v>
      </c>
      <c r="N61" s="486"/>
      <c r="O61" s="482" t="s">
        <v>46</v>
      </c>
      <c r="P61" s="483" t="s">
        <v>420</v>
      </c>
      <c r="Q61" s="484" t="s">
        <v>429</v>
      </c>
      <c r="R61" s="485" t="s">
        <v>55</v>
      </c>
      <c r="S61" s="484" t="s">
        <v>45</v>
      </c>
      <c r="U61" s="435" t="s">
        <v>413</v>
      </c>
      <c r="V61" s="436" t="s">
        <v>412</v>
      </c>
      <c r="W61" s="436" t="s">
        <v>414</v>
      </c>
    </row>
    <row r="62" spans="1:23" s="397" customFormat="1" ht="12.5" customHeight="1">
      <c r="B62" s="431" t="s">
        <v>48</v>
      </c>
      <c r="C62" s="488"/>
      <c r="D62" s="489" t="s">
        <v>421</v>
      </c>
      <c r="E62" s="490">
        <v>10000</v>
      </c>
      <c r="F62" s="491">
        <f>IF(D62="PURCHASE",E62*0.1,E62*0)</f>
        <v>1000</v>
      </c>
      <c r="G62" s="492">
        <f>F62+E62</f>
        <v>11000</v>
      </c>
      <c r="H62" s="493"/>
      <c r="I62" s="494"/>
      <c r="J62" s="489"/>
      <c r="K62" s="490"/>
      <c r="L62" s="491">
        <f>IF(J62="PURCHASE",K62*0.1,K62*0)</f>
        <v>0</v>
      </c>
      <c r="M62" s="402">
        <f>L62+K62</f>
        <v>0</v>
      </c>
      <c r="N62" s="493"/>
      <c r="O62" s="488"/>
      <c r="P62" s="489"/>
      <c r="Q62" s="490"/>
      <c r="R62" s="491">
        <f>IF(P62="PURCHASE",Q62*0.1,Q62*0)</f>
        <v>0</v>
      </c>
      <c r="S62" s="495">
        <f>R62+Q62</f>
        <v>0</v>
      </c>
      <c r="U62" s="402"/>
      <c r="V62" s="402">
        <f>SUM(S62+M62+G62)</f>
        <v>11000</v>
      </c>
      <c r="W62" s="496">
        <f>SUM(U62:V62)</f>
        <v>11000</v>
      </c>
    </row>
    <row r="63" spans="1:23" s="397" customFormat="1" ht="11.5">
      <c r="B63" s="431" t="s">
        <v>49</v>
      </c>
      <c r="C63" s="488"/>
      <c r="D63" s="489" t="s">
        <v>422</v>
      </c>
      <c r="E63" s="490">
        <v>2500</v>
      </c>
      <c r="F63" s="491">
        <f>IF(D63="PURCHASE",E63*0.1,E63*0)</f>
        <v>0</v>
      </c>
      <c r="G63" s="495">
        <f>F63+E63</f>
        <v>2500</v>
      </c>
      <c r="H63" s="493"/>
      <c r="I63" s="494"/>
      <c r="J63" s="489" t="s">
        <v>422</v>
      </c>
      <c r="K63" s="490">
        <v>5000</v>
      </c>
      <c r="L63" s="491">
        <f>IF(J63="PURCHASE",K63*0.1,K63*0)</f>
        <v>0</v>
      </c>
      <c r="M63" s="402">
        <f>L63+K63</f>
        <v>5000</v>
      </c>
      <c r="N63" s="493"/>
      <c r="O63" s="488"/>
      <c r="P63" s="489"/>
      <c r="Q63" s="490"/>
      <c r="R63" s="491">
        <f>IF(P63="PURCHASE",Q63*0.1,Q63*0)</f>
        <v>0</v>
      </c>
      <c r="S63" s="495">
        <f>R63+Q63</f>
        <v>0</v>
      </c>
      <c r="U63" s="402"/>
      <c r="V63" s="402">
        <f>SUM(S63+M63+G63)</f>
        <v>7500</v>
      </c>
      <c r="W63" s="496">
        <f t="shared" ref="W63:W64" si="8">SUM(U63:V63)</f>
        <v>7500</v>
      </c>
    </row>
    <row r="64" spans="1:23" s="397" customFormat="1" ht="11.5">
      <c r="B64" s="431" t="s">
        <v>50</v>
      </c>
      <c r="C64" s="488"/>
      <c r="D64" s="489"/>
      <c r="E64" s="490"/>
      <c r="F64" s="491">
        <f>IF(D64="PURCHASE",E64*0.1,E64*0)</f>
        <v>0</v>
      </c>
      <c r="G64" s="497">
        <f>F64+E64</f>
        <v>0</v>
      </c>
      <c r="H64" s="493"/>
      <c r="I64" s="494"/>
      <c r="J64" s="489"/>
      <c r="K64" s="490"/>
      <c r="L64" s="491">
        <f>IF(J64="PURCHASE",K64*0.1,K64*0)</f>
        <v>0</v>
      </c>
      <c r="M64" s="498">
        <f>L64+K64</f>
        <v>0</v>
      </c>
      <c r="N64" s="493"/>
      <c r="O64" s="488"/>
      <c r="P64" s="489"/>
      <c r="Q64" s="490"/>
      <c r="R64" s="491">
        <f>IF(P64="PURCHASE",Q64*0.1,Q64*0)</f>
        <v>0</v>
      </c>
      <c r="S64" s="495">
        <f>R64+Q64</f>
        <v>0</v>
      </c>
      <c r="U64" s="402"/>
      <c r="V64" s="402">
        <f>SUM(K64+R64)</f>
        <v>0</v>
      </c>
      <c r="W64" s="496">
        <f t="shared" si="8"/>
        <v>0</v>
      </c>
    </row>
    <row r="65" spans="1:23" s="397" customFormat="1" ht="11.5">
      <c r="A65" s="397" t="s">
        <v>412</v>
      </c>
      <c r="B65" s="425" t="s">
        <v>62</v>
      </c>
      <c r="C65" s="469"/>
      <c r="D65" s="469"/>
      <c r="E65" s="499"/>
      <c r="F65" s="499"/>
      <c r="G65" s="500">
        <f>SUM(G62:G64)</f>
        <v>13500</v>
      </c>
      <c r="H65" s="501"/>
      <c r="I65" s="502"/>
      <c r="J65" s="499"/>
      <c r="K65" s="499"/>
      <c r="L65" s="499"/>
      <c r="M65" s="499">
        <f>SUM(M62:M64)</f>
        <v>5000</v>
      </c>
      <c r="N65" s="501"/>
      <c r="O65" s="499"/>
      <c r="P65" s="499"/>
      <c r="Q65" s="499"/>
      <c r="R65" s="499"/>
      <c r="S65" s="499">
        <f>SUM(S62:S64)</f>
        <v>0</v>
      </c>
      <c r="U65" s="499"/>
      <c r="V65" s="499">
        <f>SUM(V62:V64)</f>
        <v>18500</v>
      </c>
      <c r="W65" s="499">
        <f>+SUM(W62:W64)</f>
        <v>18500</v>
      </c>
    </row>
    <row r="66" spans="1:23" s="397" customFormat="1" ht="11.5">
      <c r="B66" s="503"/>
      <c r="H66" s="504"/>
      <c r="N66" s="504"/>
    </row>
    <row r="67" spans="1:23" s="397" customFormat="1" ht="43.5" customHeight="1">
      <c r="B67" s="447" t="s">
        <v>469</v>
      </c>
      <c r="C67" s="482" t="s">
        <v>46</v>
      </c>
      <c r="D67" s="505" t="s">
        <v>463</v>
      </c>
      <c r="E67" s="484" t="s">
        <v>44</v>
      </c>
      <c r="F67" s="506" t="s">
        <v>464</v>
      </c>
      <c r="G67" s="485" t="s">
        <v>465</v>
      </c>
      <c r="H67" s="486"/>
      <c r="I67" s="487" t="s">
        <v>46</v>
      </c>
      <c r="J67" s="505" t="s">
        <v>463</v>
      </c>
      <c r="K67" s="484" t="s">
        <v>44</v>
      </c>
      <c r="L67" s="506" t="s">
        <v>464</v>
      </c>
      <c r="M67" s="484" t="s">
        <v>465</v>
      </c>
      <c r="N67" s="486"/>
      <c r="O67" s="482" t="s">
        <v>46</v>
      </c>
      <c r="P67" s="505" t="s">
        <v>463</v>
      </c>
      <c r="Q67" s="484" t="s">
        <v>44</v>
      </c>
      <c r="R67" s="506" t="s">
        <v>464</v>
      </c>
      <c r="S67" s="484" t="s">
        <v>465</v>
      </c>
      <c r="U67" s="435" t="s">
        <v>413</v>
      </c>
      <c r="V67" s="436" t="s">
        <v>412</v>
      </c>
      <c r="W67" s="436" t="s">
        <v>414</v>
      </c>
    </row>
    <row r="68" spans="1:23" s="397" customFormat="1" ht="12.5" customHeight="1">
      <c r="B68" s="431" t="s">
        <v>48</v>
      </c>
      <c r="C68" s="488"/>
      <c r="D68" s="488"/>
      <c r="E68" s="490">
        <v>50000</v>
      </c>
      <c r="F68" s="507">
        <v>7</v>
      </c>
      <c r="G68" s="508">
        <v>0.05</v>
      </c>
      <c r="H68" s="509"/>
      <c r="I68" s="494"/>
      <c r="J68" s="488"/>
      <c r="K68" s="490">
        <v>50000</v>
      </c>
      <c r="L68" s="507">
        <v>7</v>
      </c>
      <c r="M68" s="508">
        <v>0.1</v>
      </c>
      <c r="N68" s="509"/>
      <c r="O68" s="488"/>
      <c r="P68" s="488"/>
      <c r="Q68" s="490"/>
      <c r="R68" s="507">
        <v>7</v>
      </c>
      <c r="S68" s="508"/>
      <c r="U68" s="402"/>
      <c r="V68" s="402"/>
      <c r="W68" s="496"/>
    </row>
    <row r="69" spans="1:23" s="397" customFormat="1" ht="11.5">
      <c r="B69" s="431" t="s">
        <v>49</v>
      </c>
      <c r="C69" s="488"/>
      <c r="D69" s="488"/>
      <c r="E69" s="490"/>
      <c r="F69" s="507">
        <v>7</v>
      </c>
      <c r="G69" s="508"/>
      <c r="H69" s="509"/>
      <c r="I69" s="494"/>
      <c r="J69" s="488"/>
      <c r="K69" s="490"/>
      <c r="L69" s="507">
        <v>7</v>
      </c>
      <c r="M69" s="508"/>
      <c r="N69" s="509"/>
      <c r="O69" s="488"/>
      <c r="P69" s="488"/>
      <c r="Q69" s="490"/>
      <c r="R69" s="507">
        <v>7</v>
      </c>
      <c r="S69" s="508"/>
      <c r="U69" s="402"/>
      <c r="V69" s="402"/>
      <c r="W69" s="496"/>
    </row>
    <row r="70" spans="1:23" s="397" customFormat="1" ht="11.5">
      <c r="B70" s="431" t="s">
        <v>50</v>
      </c>
      <c r="C70" s="488"/>
      <c r="D70" s="488"/>
      <c r="E70" s="490"/>
      <c r="F70" s="507">
        <v>7</v>
      </c>
      <c r="G70" s="508"/>
      <c r="H70" s="509"/>
      <c r="I70" s="494"/>
      <c r="J70" s="488"/>
      <c r="K70" s="490"/>
      <c r="L70" s="507">
        <v>7</v>
      </c>
      <c r="M70" s="508"/>
      <c r="N70" s="509"/>
      <c r="O70" s="488"/>
      <c r="P70" s="488"/>
      <c r="Q70" s="490"/>
      <c r="R70" s="507">
        <v>7</v>
      </c>
      <c r="S70" s="508"/>
      <c r="U70" s="402"/>
      <c r="V70" s="402"/>
      <c r="W70" s="496"/>
    </row>
    <row r="71" spans="1:23" s="397" customFormat="1" ht="11.5">
      <c r="A71" s="397" t="s">
        <v>412</v>
      </c>
      <c r="B71" s="425" t="s">
        <v>62</v>
      </c>
      <c r="C71" s="469"/>
      <c r="D71" s="469"/>
      <c r="E71" s="499"/>
      <c r="F71" s="499"/>
      <c r="G71" s="500">
        <f>(E68/F68)*G68</f>
        <v>357.14285714285717</v>
      </c>
      <c r="H71" s="501"/>
      <c r="I71" s="474"/>
      <c r="J71" s="469"/>
      <c r="K71" s="499"/>
      <c r="L71" s="499"/>
      <c r="M71" s="499">
        <f>(K68/L68)*M68</f>
        <v>714.28571428571433</v>
      </c>
      <c r="N71" s="501"/>
      <c r="O71" s="469"/>
      <c r="P71" s="469"/>
      <c r="Q71" s="499"/>
      <c r="R71" s="499"/>
      <c r="S71" s="499">
        <f>(Q68/R68)*S68</f>
        <v>0</v>
      </c>
      <c r="U71" s="499"/>
      <c r="V71" s="499">
        <f>SUM(S71+M71+G71)</f>
        <v>1071.4285714285716</v>
      </c>
      <c r="W71" s="499">
        <f>V71</f>
        <v>1071.4285714285716</v>
      </c>
    </row>
    <row r="72" spans="1:23" s="397" customFormat="1" ht="11.5">
      <c r="B72" s="503"/>
      <c r="H72" s="504"/>
      <c r="N72" s="504"/>
    </row>
    <row r="73" spans="1:23" s="397" customFormat="1" ht="11.5">
      <c r="B73" s="503"/>
      <c r="H73" s="504"/>
      <c r="N73" s="504"/>
    </row>
    <row r="74" spans="1:23" s="397" customFormat="1" ht="11.5">
      <c r="B74" s="503"/>
      <c r="H74" s="504"/>
      <c r="N74" s="504"/>
    </row>
    <row r="75" spans="1:23" s="397" customFormat="1" ht="11.5">
      <c r="B75" s="503"/>
      <c r="H75" s="504"/>
      <c r="N75" s="504"/>
    </row>
    <row r="76" spans="1:23" s="397" customFormat="1" ht="11.5">
      <c r="B76" s="510" t="s">
        <v>428</v>
      </c>
      <c r="H76" s="504"/>
      <c r="N76" s="504"/>
    </row>
    <row r="77" spans="1:23" s="397" customFormat="1" ht="11.5">
      <c r="B77" s="503"/>
      <c r="H77" s="504"/>
      <c r="N77" s="504"/>
    </row>
    <row r="78" spans="1:23" s="397" customFormat="1" ht="11.5">
      <c r="B78" s="503"/>
      <c r="H78" s="504"/>
      <c r="N78" s="504"/>
    </row>
    <row r="79" spans="1:23" s="397" customFormat="1" ht="11.5">
      <c r="B79" s="503"/>
      <c r="H79" s="504"/>
      <c r="N79" s="504"/>
    </row>
    <row r="80" spans="1:23" s="397" customFormat="1" ht="41" customHeight="1">
      <c r="B80" s="511"/>
      <c r="H80" s="504"/>
      <c r="N80" s="504"/>
    </row>
    <row r="81" spans="2:2" ht="14.5">
      <c r="B81"/>
    </row>
    <row r="82" spans="2:2" ht="14.5">
      <c r="B82"/>
    </row>
    <row r="83" spans="2:2" ht="14.5">
      <c r="B83"/>
    </row>
    <row r="84" spans="2:2" ht="14.5">
      <c r="B84"/>
    </row>
  </sheetData>
  <sheetProtection formatCells="0" formatColumns="0" formatRows="0" selectLockedCells="1"/>
  <mergeCells count="6">
    <mergeCell ref="C12:G12"/>
    <mergeCell ref="I12:M12"/>
    <mergeCell ref="O12:S12"/>
    <mergeCell ref="E5:G5"/>
    <mergeCell ref="E6:G6"/>
    <mergeCell ref="E7:G7"/>
  </mergeCells>
  <dataValidations count="4">
    <dataValidation type="list" allowBlank="1" showInputMessage="1" showErrorMessage="1" promptTitle="Site" prompt="Select site from list" sqref="C5" xr:uid="{556E16C5-CD9B-4E17-99C3-7D87AEF48A55}">
      <formula1>rngListSite</formula1>
    </dataValidation>
    <dataValidation type="list" allowBlank="1" showInputMessage="1" showErrorMessage="1" sqref="C30:S30 C20:S20" xr:uid="{1693598B-7ABF-4D4B-8182-C745BD6047E2}">
      <formula1>rngSalaryBands</formula1>
    </dataValidation>
    <dataValidation allowBlank="1" showInputMessage="1" showErrorMessage="1" promptTitle="Maintenance Cost" prompt="Input annual maintenance cost as a % of instrument cost_x000a_(typically this will be 10-15%)_x000a_" sqref="F62:F64 L62:L64 R62:R64" xr:uid="{7DFF48BA-19C7-45FE-BCC6-E1B1010F95EC}"/>
    <dataValidation type="list" allowBlank="1" showInputMessage="1" showErrorMessage="1" promptTitle="Laboratory" prompt="Select Lab from list" sqref="C6" xr:uid="{2F07DE10-CD3A-4D30-B0A6-0181184C90DD}">
      <formula1>INDIRECT(SUBSTITUTE(C5," ","_"))</formula1>
    </dataValidation>
  </dataValidations>
  <pageMargins left="0.31496062992125984" right="0.31496062992125984" top="0.66" bottom="0.83" header="0.33" footer="0.55000000000000004"/>
  <pageSetup paperSize="8" scale="73" orientation="landscape" r:id="rId1"/>
  <headerFooter>
    <oddFooter>&amp;L&amp;Z&amp;F&amp;R&amp;D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2222362-A1BB-43A8-B796-C6535AA281C2}">
          <x14:formula1>
            <xm:f>AfC!$CF$95:$CF$97</xm:f>
          </x14:formula1>
          <xm:sqref>C28:S28 C18:S18</xm:sqref>
        </x14:dataValidation>
        <x14:dataValidation type="list" allowBlank="1" showInputMessage="1" showErrorMessage="1" xr:uid="{93DFD324-74C1-4C0B-85CF-3573B0CC5F04}">
          <x14:formula1>
            <xm:f>AfC!$CD$100:$CD$101</xm:f>
          </x14:formula1>
          <xm:sqref>D62:D64 J62:J64 P62:P64</xm:sqref>
        </x14:dataValidation>
        <x14:dataValidation type="list" allowBlank="1" showInputMessage="1" showErrorMessage="1" xr:uid="{E8D3DE80-85D3-4B8C-9659-8BB589F0400A}">
          <x14:formula1>
            <xm:f>AfC!$CD$104:$CD$127</xm:f>
          </x14:formula1>
          <xm:sqref>O27:P27 C27:D27 I27:J27</xm:sqref>
        </x14:dataValidation>
        <x14:dataValidation type="list" allowBlank="1" showInputMessage="1" showErrorMessage="1" xr:uid="{C253C116-11F4-4AE8-8E54-B04E9B78801D}">
          <x14:formula1>
            <xm:f>AfC!$CD$96:$CD$98</xm:f>
          </x14:formula1>
          <xm:sqref>C7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S27"/>
  <sheetViews>
    <sheetView showGridLines="0" zoomScale="90" zoomScaleNormal="90" workbookViewId="0">
      <selection activeCell="K21" sqref="K21"/>
    </sheetView>
  </sheetViews>
  <sheetFormatPr defaultRowHeight="14.5"/>
  <cols>
    <col min="1" max="1" width="9.1796875" customWidth="1"/>
    <col min="2" max="2" width="28.26953125" customWidth="1"/>
    <col min="3" max="3" width="1.1796875" customWidth="1"/>
    <col min="4" max="4" width="6.453125" customWidth="1"/>
    <col min="5" max="7" width="13.54296875" customWidth="1"/>
    <col min="8" max="8" width="1.1796875" customWidth="1"/>
    <col min="9" max="9" width="6.453125" customWidth="1"/>
    <col min="10" max="12" width="13.54296875" customWidth="1"/>
    <col min="13" max="13" width="1" customWidth="1"/>
    <col min="14" max="14" width="0.81640625" customWidth="1"/>
    <col min="15" max="15" width="20.54296875" customWidth="1"/>
    <col min="16" max="16" width="1.1796875" customWidth="1"/>
    <col min="17" max="17" width="1.81640625" customWidth="1"/>
    <col min="18" max="18" width="10.54296875" customWidth="1"/>
    <col min="19" max="23" width="10.26953125" customWidth="1"/>
  </cols>
  <sheetData>
    <row r="1" spans="1:19" s="23" customFormat="1" ht="3.75" customHeight="1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19" s="23" customFormat="1" ht="18">
      <c r="A2" s="103"/>
      <c r="B2" s="168">
        <f>Inputs!B2</f>
        <v>0</v>
      </c>
      <c r="C2" s="168"/>
      <c r="D2" s="168"/>
      <c r="E2" s="155"/>
      <c r="F2" s="155"/>
      <c r="G2" s="155"/>
      <c r="H2" s="168"/>
      <c r="I2" s="168"/>
      <c r="J2" s="155"/>
      <c r="K2" s="155"/>
      <c r="L2" s="155"/>
      <c r="M2" s="168"/>
      <c r="N2" s="168"/>
      <c r="O2" s="155"/>
      <c r="P2" s="155"/>
      <c r="Q2" s="117"/>
      <c r="R2" s="117"/>
      <c r="S2" s="117"/>
    </row>
    <row r="3" spans="1:19" s="23" customFormat="1" ht="6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s="23" customFormat="1" ht="14.25" customHeight="1">
      <c r="A4" s="103"/>
      <c r="B4" s="335" t="str">
        <f>Inputs!B5</f>
        <v>Site</v>
      </c>
      <c r="C4" s="336"/>
      <c r="D4" s="336"/>
      <c r="E4" s="537">
        <f>Inputs!C5</f>
        <v>0</v>
      </c>
      <c r="F4" s="537"/>
      <c r="G4" s="537"/>
      <c r="H4" s="536"/>
      <c r="I4" s="536"/>
      <c r="J4" s="536"/>
      <c r="K4" s="536"/>
      <c r="L4" s="536"/>
      <c r="M4" s="536"/>
      <c r="N4" s="536"/>
      <c r="O4" s="536"/>
      <c r="P4" s="536"/>
      <c r="Q4" s="103"/>
      <c r="R4" s="103"/>
      <c r="S4" s="103"/>
    </row>
    <row r="5" spans="1:19" s="23" customFormat="1" ht="14.25" customHeight="1">
      <c r="A5" s="103"/>
      <c r="B5" s="335" t="str">
        <f>Inputs!B6</f>
        <v>Laboratory</v>
      </c>
      <c r="C5" s="336"/>
      <c r="D5" s="336"/>
      <c r="E5" s="537">
        <f>Inputs!C6</f>
        <v>0</v>
      </c>
      <c r="F5" s="537"/>
      <c r="G5" s="537"/>
      <c r="H5" s="536"/>
      <c r="I5" s="536"/>
      <c r="J5" s="536"/>
      <c r="K5" s="536"/>
      <c r="L5" s="536"/>
      <c r="M5" s="536"/>
      <c r="N5" s="536"/>
      <c r="O5" s="536"/>
      <c r="P5" s="536"/>
      <c r="Q5" s="103"/>
      <c r="R5" s="103"/>
      <c r="S5" s="103"/>
    </row>
    <row r="6" spans="1:19" s="23" customFormat="1" ht="14.25" customHeight="1">
      <c r="A6" s="103"/>
      <c r="B6" s="335" t="str">
        <f>Inputs!B7</f>
        <v>Award Type</v>
      </c>
      <c r="C6" s="336"/>
      <c r="D6" s="336"/>
      <c r="E6" s="537">
        <f>Inputs!C7</f>
        <v>0</v>
      </c>
      <c r="F6" s="537"/>
      <c r="G6" s="537"/>
      <c r="H6" s="536"/>
      <c r="I6" s="536"/>
      <c r="J6" s="536"/>
      <c r="K6" s="536"/>
      <c r="L6" s="536"/>
      <c r="M6" s="536"/>
      <c r="N6" s="536"/>
      <c r="O6" s="536"/>
      <c r="P6" s="536"/>
      <c r="Q6" s="103"/>
      <c r="R6" s="103"/>
      <c r="S6" s="103"/>
    </row>
    <row r="7" spans="1:19" ht="14.25" customHeight="1">
      <c r="A7" s="169"/>
      <c r="B7" s="335" t="str">
        <f>Inputs!B8</f>
        <v>Date of Application</v>
      </c>
      <c r="C7" s="336"/>
      <c r="D7" s="336"/>
      <c r="E7" s="535">
        <f>Inputs!C8</f>
        <v>0</v>
      </c>
      <c r="F7" s="535"/>
      <c r="G7" s="535"/>
      <c r="H7" s="536"/>
      <c r="I7" s="536"/>
      <c r="J7" s="536" t="s">
        <v>251</v>
      </c>
      <c r="K7" s="536"/>
      <c r="L7" s="536"/>
      <c r="M7" s="536"/>
      <c r="N7" s="536"/>
      <c r="O7" s="536">
        <f>Inputs!C8</f>
        <v>0</v>
      </c>
      <c r="P7" s="536"/>
      <c r="Q7" s="169"/>
      <c r="R7" s="169"/>
      <c r="S7" s="169"/>
    </row>
    <row r="8" spans="1:19" ht="14.25" customHeight="1">
      <c r="A8" s="169"/>
      <c r="B8" s="335" t="str">
        <f>Inputs!B9</f>
        <v>Length of Project</v>
      </c>
      <c r="C8" s="336"/>
      <c r="D8" s="336"/>
      <c r="E8" s="535">
        <f>Inputs!C9</f>
        <v>0</v>
      </c>
      <c r="F8" s="535"/>
      <c r="G8" s="535"/>
      <c r="H8" s="536"/>
      <c r="I8" s="536"/>
      <c r="J8" s="536" t="s">
        <v>251</v>
      </c>
      <c r="K8" s="536"/>
      <c r="L8" s="536"/>
      <c r="M8" s="536"/>
      <c r="N8" s="536"/>
      <c r="O8" s="536">
        <f>Inputs!C9</f>
        <v>0</v>
      </c>
      <c r="P8" s="536"/>
      <c r="Q8" s="169"/>
      <c r="R8" s="169"/>
      <c r="S8" s="169"/>
    </row>
    <row r="9" spans="1:19" ht="14.25" customHeight="1">
      <c r="A9" s="169"/>
      <c r="B9" s="335" t="str">
        <f>Inputs!B10</f>
        <v>Lead Name</v>
      </c>
      <c r="C9" s="336"/>
      <c r="D9" s="336"/>
      <c r="E9" s="537">
        <f>Inputs!C10</f>
        <v>0</v>
      </c>
      <c r="F9" s="537"/>
      <c r="G9" s="537"/>
      <c r="H9" s="536"/>
      <c r="I9" s="536"/>
      <c r="J9" s="536" t="s">
        <v>251</v>
      </c>
      <c r="K9" s="536"/>
      <c r="L9" s="536"/>
      <c r="M9" s="536"/>
      <c r="N9" s="536"/>
      <c r="O9" s="536">
        <f>Inputs!C10</f>
        <v>0</v>
      </c>
      <c r="P9" s="536"/>
      <c r="Q9" s="169"/>
      <c r="R9" s="169"/>
      <c r="S9" s="169"/>
    </row>
    <row r="10" spans="1:19" ht="6" customHeight="1" thickBot="1">
      <c r="A10" s="169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</row>
    <row r="11" spans="1:19" ht="6" customHeight="1">
      <c r="A11" s="169"/>
      <c r="B11" s="246"/>
      <c r="C11" s="247"/>
      <c r="D11" s="247"/>
      <c r="E11" s="248"/>
      <c r="F11" s="248"/>
      <c r="G11" s="248"/>
      <c r="H11" s="247"/>
      <c r="I11" s="247"/>
      <c r="J11" s="248"/>
      <c r="K11" s="248"/>
      <c r="L11" s="248"/>
      <c r="M11" s="247"/>
      <c r="N11" s="247"/>
      <c r="O11" s="248"/>
      <c r="P11" s="249"/>
      <c r="Q11" s="173"/>
      <c r="R11" s="173"/>
      <c r="S11" s="173"/>
    </row>
    <row r="12" spans="1:19" ht="26.25" customHeight="1">
      <c r="A12" s="169"/>
      <c r="B12" s="260"/>
      <c r="C12" s="170"/>
      <c r="D12" s="531" t="s">
        <v>333</v>
      </c>
      <c r="E12" s="532"/>
      <c r="F12" s="532"/>
      <c r="G12" s="532"/>
      <c r="H12" s="170"/>
      <c r="I12" s="533" t="s">
        <v>334</v>
      </c>
      <c r="J12" s="534"/>
      <c r="K12" s="534"/>
      <c r="L12" s="534"/>
      <c r="M12" s="293"/>
      <c r="N12" s="293"/>
      <c r="O12" s="294" t="s">
        <v>335</v>
      </c>
      <c r="P12" s="250"/>
      <c r="Q12" s="173"/>
      <c r="R12" s="173"/>
      <c r="S12" s="173"/>
    </row>
    <row r="13" spans="1:19">
      <c r="A13" s="169"/>
      <c r="B13" s="251"/>
      <c r="C13" s="244"/>
      <c r="D13" s="244"/>
      <c r="E13" s="374" t="s">
        <v>466</v>
      </c>
      <c r="F13" s="374" t="s">
        <v>467</v>
      </c>
      <c r="G13" s="374" t="s">
        <v>468</v>
      </c>
      <c r="H13" s="244"/>
      <c r="I13" s="244"/>
      <c r="J13" s="374" t="s">
        <v>466</v>
      </c>
      <c r="K13" s="374" t="s">
        <v>467</v>
      </c>
      <c r="L13" s="374" t="s">
        <v>468</v>
      </c>
      <c r="M13" s="244"/>
      <c r="N13" s="244"/>
      <c r="O13" s="245"/>
      <c r="P13" s="250"/>
      <c r="Q13" s="173"/>
      <c r="R13" s="173"/>
      <c r="S13" s="173"/>
    </row>
    <row r="14" spans="1:19">
      <c r="A14" s="169"/>
      <c r="B14" s="252"/>
      <c r="C14" s="171"/>
      <c r="D14" s="171"/>
      <c r="E14" s="243"/>
      <c r="F14" s="375"/>
      <c r="G14" s="375"/>
      <c r="H14" s="171"/>
      <c r="I14" s="171"/>
      <c r="J14" s="243"/>
      <c r="K14" s="375"/>
      <c r="L14" s="375"/>
      <c r="M14" s="171"/>
      <c r="N14" s="171"/>
      <c r="O14" s="243"/>
      <c r="P14" s="250"/>
      <c r="Q14" s="173"/>
      <c r="R14" s="386" t="s">
        <v>470</v>
      </c>
      <c r="S14" s="173"/>
    </row>
    <row r="15" spans="1:19" ht="19.5" customHeight="1">
      <c r="A15" s="169"/>
      <c r="B15" s="253" t="str">
        <f>Inputs!B13</f>
        <v>Staff Costs</v>
      </c>
      <c r="C15" s="172"/>
      <c r="D15" s="242"/>
      <c r="E15" s="373">
        <f>SUM(Inputs!C23:G23)</f>
        <v>0</v>
      </c>
      <c r="F15" s="373">
        <f>SUM(Inputs!I23:M23)</f>
        <v>0</v>
      </c>
      <c r="G15" s="373">
        <f>SUM('Inputs (Example)'!O23:S23)</f>
        <v>0</v>
      </c>
      <c r="H15" s="372"/>
      <c r="I15" s="372"/>
      <c r="J15" s="373">
        <f>SUM(Inputs!C33:G33)</f>
        <v>0</v>
      </c>
      <c r="K15" s="373">
        <f>SUM(Inputs!I33:M33)</f>
        <v>0</v>
      </c>
      <c r="L15" s="373">
        <f>SUM(Inputs!O33:S33)</f>
        <v>0</v>
      </c>
      <c r="M15" s="372"/>
      <c r="N15" s="372"/>
      <c r="O15" s="371">
        <f>SUM(E15:L15)</f>
        <v>0</v>
      </c>
      <c r="P15" s="250"/>
      <c r="Q15" s="173"/>
      <c r="R15" s="384">
        <f>SUM(Inputs!W23+Inputs!W33)-O15</f>
        <v>0</v>
      </c>
      <c r="S15" s="173"/>
    </row>
    <row r="16" spans="1:19" ht="19.5" customHeight="1">
      <c r="A16" s="169"/>
      <c r="B16" s="253" t="s">
        <v>454</v>
      </c>
      <c r="C16" s="172"/>
      <c r="D16" s="350">
        <v>0.1</v>
      </c>
      <c r="E16" s="370">
        <f>E15*$D$16</f>
        <v>0</v>
      </c>
      <c r="F16" s="370">
        <f t="shared" ref="F16:G16" si="0">F15*$D$16</f>
        <v>0</v>
      </c>
      <c r="G16" s="370">
        <f t="shared" si="0"/>
        <v>0</v>
      </c>
      <c r="H16" s="369"/>
      <c r="I16" s="369"/>
      <c r="J16" s="370">
        <f>J15*$D$16</f>
        <v>0</v>
      </c>
      <c r="K16" s="370">
        <f t="shared" ref="K16:L16" si="1">K15*$D$16</f>
        <v>0</v>
      </c>
      <c r="L16" s="370">
        <f t="shared" si="1"/>
        <v>0</v>
      </c>
      <c r="M16" s="369"/>
      <c r="N16" s="369"/>
      <c r="O16" s="371">
        <f>SUM(E16:L16)</f>
        <v>0</v>
      </c>
      <c r="P16" s="250"/>
      <c r="Q16" s="173"/>
      <c r="R16" s="173"/>
      <c r="S16" s="173"/>
    </row>
    <row r="17" spans="1:19" ht="19.5" customHeight="1">
      <c r="A17" s="169"/>
      <c r="B17" s="253" t="s">
        <v>405</v>
      </c>
      <c r="C17" s="172"/>
      <c r="D17" s="242"/>
      <c r="E17" s="368"/>
      <c r="F17" s="368"/>
      <c r="G17" s="368"/>
      <c r="H17" s="369"/>
      <c r="I17" s="369"/>
      <c r="J17" s="370">
        <f>Inputs!G59</f>
        <v>0</v>
      </c>
      <c r="K17" s="370">
        <f>Inputs!M59</f>
        <v>0</v>
      </c>
      <c r="L17" s="370">
        <f>Inputs!S59</f>
        <v>0</v>
      </c>
      <c r="M17" s="369"/>
      <c r="N17" s="369"/>
      <c r="O17" s="371">
        <f>SUM(E17:L17)</f>
        <v>0</v>
      </c>
      <c r="P17" s="250"/>
      <c r="Q17" s="173"/>
      <c r="R17" s="384">
        <f>SUM(Inputs!W59)-O17</f>
        <v>0</v>
      </c>
      <c r="S17" s="173"/>
    </row>
    <row r="18" spans="1:19" ht="19.5" customHeight="1">
      <c r="A18" s="169"/>
      <c r="B18" s="253" t="s">
        <v>247</v>
      </c>
      <c r="C18" s="172"/>
      <c r="D18" s="242"/>
      <c r="E18" s="367">
        <f>SUM(E15:E17)</f>
        <v>0</v>
      </c>
      <c r="F18" s="367">
        <f t="shared" ref="F18:G18" si="2">SUM(F15:F17)</f>
        <v>0</v>
      </c>
      <c r="G18" s="367">
        <f t="shared" si="2"/>
        <v>0</v>
      </c>
      <c r="H18" s="366"/>
      <c r="I18" s="365"/>
      <c r="J18" s="367">
        <f>SUM(J15:J17)</f>
        <v>0</v>
      </c>
      <c r="K18" s="367">
        <f t="shared" ref="K18:L18" si="3">SUM(K15:K17)</f>
        <v>0</v>
      </c>
      <c r="L18" s="367">
        <f t="shared" si="3"/>
        <v>0</v>
      </c>
      <c r="M18" s="366"/>
      <c r="N18" s="365"/>
      <c r="O18" s="367">
        <f>SUM(O15:O17)</f>
        <v>0</v>
      </c>
      <c r="P18" s="250"/>
      <c r="Q18" s="173"/>
      <c r="R18" s="173"/>
      <c r="S18" s="173"/>
    </row>
    <row r="19" spans="1:19" ht="19.5" customHeight="1">
      <c r="A19" s="169"/>
      <c r="B19" s="253"/>
      <c r="C19" s="172"/>
      <c r="D19" s="242"/>
      <c r="E19" s="372"/>
      <c r="F19" s="372"/>
      <c r="G19" s="372"/>
      <c r="H19" s="372"/>
      <c r="I19" s="372"/>
      <c r="J19" s="373"/>
      <c r="K19" s="373"/>
      <c r="L19" s="373"/>
      <c r="M19" s="372"/>
      <c r="N19" s="364"/>
      <c r="O19" s="371"/>
      <c r="P19" s="250"/>
      <c r="Q19" s="173"/>
      <c r="R19" s="176"/>
      <c r="S19" s="177"/>
    </row>
    <row r="20" spans="1:19" ht="19.5" customHeight="1">
      <c r="A20" s="169"/>
      <c r="B20" s="253" t="s">
        <v>462</v>
      </c>
      <c r="C20" s="172"/>
      <c r="D20" s="242"/>
      <c r="E20" s="368"/>
      <c r="F20" s="368"/>
      <c r="G20" s="368"/>
      <c r="H20" s="362"/>
      <c r="I20" s="372"/>
      <c r="J20" s="361">
        <f>Inputs!G65</f>
        <v>0</v>
      </c>
      <c r="K20" s="361">
        <f>Inputs!M65</f>
        <v>0</v>
      </c>
      <c r="L20" s="361">
        <f>Inputs!S65</f>
        <v>0</v>
      </c>
      <c r="M20" s="362"/>
      <c r="N20" s="364"/>
      <c r="O20" s="371">
        <f>SUM(E20:L20)</f>
        <v>0</v>
      </c>
      <c r="P20" s="250"/>
      <c r="Q20" s="173"/>
      <c r="R20" s="385">
        <f>SUM(Inputs!W65)-O20</f>
        <v>0</v>
      </c>
      <c r="S20" s="174"/>
    </row>
    <row r="21" spans="1:19" ht="19.5" customHeight="1">
      <c r="A21" s="169"/>
      <c r="B21" s="253" t="s">
        <v>469</v>
      </c>
      <c r="C21" s="172"/>
      <c r="D21" s="242"/>
      <c r="E21" s="368"/>
      <c r="F21" s="368"/>
      <c r="G21" s="368"/>
      <c r="H21" s="376"/>
      <c r="I21" s="372"/>
      <c r="J21" s="360">
        <f>Inputs!G71</f>
        <v>0</v>
      </c>
      <c r="K21" s="360">
        <f>Inputs!M71</f>
        <v>0</v>
      </c>
      <c r="L21" s="360">
        <f>Inputs!S71</f>
        <v>0</v>
      </c>
      <c r="M21" s="376"/>
      <c r="N21" s="364"/>
      <c r="O21" s="371">
        <f>SUM(E21:L21)</f>
        <v>0</v>
      </c>
      <c r="P21" s="250"/>
      <c r="Q21" s="173"/>
      <c r="R21" s="385">
        <f>SUM(Inputs!W71)-O21</f>
        <v>0</v>
      </c>
      <c r="S21" s="173"/>
    </row>
    <row r="22" spans="1:19" ht="19.5" customHeight="1">
      <c r="A22" s="169"/>
      <c r="B22" s="253"/>
      <c r="C22" s="172"/>
      <c r="D22" s="242"/>
      <c r="E22" s="359"/>
      <c r="F22" s="359"/>
      <c r="G22" s="359"/>
      <c r="H22" s="376"/>
      <c r="I22" s="372"/>
      <c r="J22" s="359"/>
      <c r="K22" s="359"/>
      <c r="L22" s="359"/>
      <c r="M22" s="377"/>
      <c r="N22" s="364"/>
      <c r="O22" s="378"/>
      <c r="P22" s="250"/>
      <c r="Q22" s="173"/>
      <c r="R22" s="292"/>
      <c r="S22" s="173"/>
    </row>
    <row r="23" spans="1:19" ht="19.5" customHeight="1">
      <c r="A23" s="169"/>
      <c r="B23" s="262"/>
      <c r="C23" s="172"/>
      <c r="D23" s="242"/>
      <c r="E23" s="379"/>
      <c r="F23" s="379"/>
      <c r="G23" s="379"/>
      <c r="H23" s="380"/>
      <c r="I23" s="372"/>
      <c r="J23" s="379"/>
      <c r="K23" s="379"/>
      <c r="L23" s="379"/>
      <c r="M23" s="380"/>
      <c r="N23" s="364"/>
      <c r="O23" s="379"/>
      <c r="P23" s="250"/>
      <c r="Q23" s="173"/>
      <c r="R23" s="174"/>
      <c r="S23" s="328"/>
    </row>
    <row r="24" spans="1:19" ht="19.5" customHeight="1">
      <c r="A24" s="169"/>
      <c r="B24" s="261"/>
      <c r="C24" s="172"/>
      <c r="D24" s="242"/>
      <c r="E24" s="363"/>
      <c r="F24" s="363"/>
      <c r="G24" s="363"/>
      <c r="H24" s="380"/>
      <c r="I24" s="372"/>
      <c r="J24" s="363"/>
      <c r="K24" s="363"/>
      <c r="L24" s="363"/>
      <c r="M24" s="380"/>
      <c r="N24" s="364"/>
      <c r="O24" s="361"/>
      <c r="P24" s="250"/>
      <c r="Q24" s="173"/>
      <c r="R24" s="268"/>
      <c r="S24" s="173"/>
    </row>
    <row r="25" spans="1:19" ht="19.5" customHeight="1" thickBot="1">
      <c r="A25" s="169"/>
      <c r="B25" s="254"/>
      <c r="C25" s="172"/>
      <c r="D25" s="242"/>
      <c r="E25" s="381">
        <f>SUM(E18)</f>
        <v>0</v>
      </c>
      <c r="F25" s="381">
        <f t="shared" ref="F25:G25" si="4">SUM(F18)</f>
        <v>0</v>
      </c>
      <c r="G25" s="381">
        <f t="shared" si="4"/>
        <v>0</v>
      </c>
      <c r="H25" s="380"/>
      <c r="I25" s="372"/>
      <c r="J25" s="382">
        <f>SUM(J18:J24)</f>
        <v>0</v>
      </c>
      <c r="K25" s="382">
        <f t="shared" ref="K25:L25" si="5">SUM(K18:K24)</f>
        <v>0</v>
      </c>
      <c r="L25" s="382">
        <f t="shared" si="5"/>
        <v>0</v>
      </c>
      <c r="M25" s="380"/>
      <c r="N25" s="372"/>
      <c r="O25" s="383">
        <f>SUM(O18:O24)</f>
        <v>0</v>
      </c>
      <c r="P25" s="250"/>
      <c r="Q25" s="173"/>
      <c r="R25" s="174"/>
      <c r="S25" s="173"/>
    </row>
    <row r="26" spans="1:19" ht="19.5" customHeight="1">
      <c r="A26" s="169"/>
      <c r="B26" s="264"/>
      <c r="C26" s="265"/>
      <c r="D26" s="266"/>
      <c r="E26" s="267"/>
      <c r="F26" s="267"/>
      <c r="G26" s="267"/>
      <c r="H26" s="263"/>
      <c r="I26" s="263"/>
      <c r="J26" s="267"/>
      <c r="K26" s="267"/>
      <c r="L26" s="267"/>
      <c r="M26" s="269"/>
      <c r="N26" s="269"/>
      <c r="O26" s="267"/>
      <c r="P26" s="250"/>
      <c r="Q26" s="173"/>
      <c r="R26" s="175"/>
      <c r="S26" s="173"/>
    </row>
    <row r="27" spans="1:19" ht="7.5" customHeight="1" thickBot="1">
      <c r="A27" s="169"/>
      <c r="B27" s="255"/>
      <c r="C27" s="256"/>
      <c r="D27" s="257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9"/>
      <c r="Q27" s="173"/>
      <c r="R27" s="174"/>
      <c r="S27" s="173"/>
    </row>
  </sheetData>
  <mergeCells count="8">
    <mergeCell ref="D12:G12"/>
    <mergeCell ref="I12:L12"/>
    <mergeCell ref="E7:P7"/>
    <mergeCell ref="E9:P9"/>
    <mergeCell ref="E4:P4"/>
    <mergeCell ref="E5:P5"/>
    <mergeCell ref="E6:P6"/>
    <mergeCell ref="E8:P8"/>
  </mergeCells>
  <phoneticPr fontId="0" type="noConversion"/>
  <pageMargins left="0.47244094488188981" right="0.39370078740157483" top="0.59055118110236227" bottom="0.55118110236220474" header="0.31496062992125984" footer="0.31496062992125984"/>
  <pageSetup paperSize="9" scale="73" orientation="portrait" r:id="rId1"/>
  <headerFooter>
    <oddFooter>&amp;L&amp;Z&amp;F&amp;R&amp;D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B1:J66"/>
  <sheetViews>
    <sheetView showGridLines="0" showZeros="0" zoomScaleNormal="100" workbookViewId="0">
      <pane xSplit="1" ySplit="1" topLeftCell="B14" activePane="bottomRight" state="frozen"/>
      <selection activeCell="B88" sqref="B88"/>
      <selection pane="topRight" activeCell="B88" sqref="B88"/>
      <selection pane="bottomLeft" activeCell="B88" sqref="B88"/>
      <selection pane="bottomRight" activeCell="C35" sqref="C35"/>
    </sheetView>
  </sheetViews>
  <sheetFormatPr defaultColWidth="9.1796875" defaultRowHeight="14" outlineLevelRow="1"/>
  <cols>
    <col min="1" max="1" width="6.81640625" style="16" customWidth="1"/>
    <col min="2" max="2" width="45.81640625" style="16" customWidth="1"/>
    <col min="3" max="3" width="14.54296875" style="16" customWidth="1"/>
    <col min="4" max="4" width="13" style="16" customWidth="1"/>
    <col min="5" max="5" width="13.54296875" style="16" customWidth="1"/>
    <col min="6" max="6" width="14.54296875" style="16" customWidth="1"/>
    <col min="7" max="7" width="37" style="16" customWidth="1"/>
    <col min="8" max="8" width="16.1796875" style="16" customWidth="1"/>
    <col min="9" max="9" width="6.54296875" style="16" customWidth="1"/>
    <col min="10" max="16384" width="9.1796875" style="16"/>
  </cols>
  <sheetData>
    <row r="1" spans="2:9" ht="38.25" customHeight="1">
      <c r="B1" s="118" t="s">
        <v>246</v>
      </c>
    </row>
    <row r="2" spans="2:9" ht="23">
      <c r="B2" s="37" t="s">
        <v>239</v>
      </c>
    </row>
    <row r="4" spans="2:9">
      <c r="B4" s="58" t="s">
        <v>221</v>
      </c>
      <c r="C4" s="560">
        <f>Inputs!K4</f>
        <v>0</v>
      </c>
      <c r="D4" s="561"/>
      <c r="E4" s="561"/>
      <c r="F4" s="561"/>
      <c r="G4" s="561"/>
      <c r="H4" s="59"/>
    </row>
    <row r="5" spans="2:9">
      <c r="B5" s="60" t="s">
        <v>222</v>
      </c>
      <c r="C5" s="558">
        <f>Inputs!K6</f>
        <v>0</v>
      </c>
      <c r="D5" s="559"/>
      <c r="E5" s="559"/>
      <c r="F5" s="559"/>
      <c r="G5" s="559"/>
      <c r="H5" s="61"/>
    </row>
    <row r="6" spans="2:9">
      <c r="B6" s="60" t="s">
        <v>220</v>
      </c>
      <c r="C6" s="558">
        <f>Inputs!C5</f>
        <v>0</v>
      </c>
      <c r="D6" s="559"/>
      <c r="E6" s="559"/>
      <c r="F6" s="559"/>
      <c r="G6" s="559"/>
      <c r="H6" s="61"/>
    </row>
    <row r="7" spans="2:9">
      <c r="B7" s="62" t="s">
        <v>57</v>
      </c>
      <c r="C7" s="562">
        <f>Inputs!C6</f>
        <v>0</v>
      </c>
      <c r="D7" s="563"/>
      <c r="E7" s="563"/>
      <c r="F7" s="563"/>
      <c r="G7" s="563"/>
      <c r="H7" s="63"/>
    </row>
    <row r="9" spans="2:9" ht="28">
      <c r="B9" s="64" t="s">
        <v>25</v>
      </c>
      <c r="C9" s="65" t="s">
        <v>125</v>
      </c>
      <c r="D9" s="65" t="s">
        <v>123</v>
      </c>
      <c r="E9" s="65" t="s">
        <v>124</v>
      </c>
      <c r="F9" s="65" t="s">
        <v>120</v>
      </c>
      <c r="G9" s="65" t="s">
        <v>223</v>
      </c>
      <c r="H9" s="66" t="s">
        <v>224</v>
      </c>
      <c r="I9" s="34"/>
    </row>
    <row r="10" spans="2:9" ht="3" customHeight="1">
      <c r="B10" s="18"/>
      <c r="H10" s="67"/>
    </row>
    <row r="11" spans="2:9">
      <c r="B11" s="109" t="s">
        <v>225</v>
      </c>
      <c r="C11" s="42"/>
      <c r="D11" s="42"/>
      <c r="E11" s="42"/>
      <c r="F11" s="42" t="s">
        <v>27</v>
      </c>
      <c r="G11" s="42"/>
      <c r="H11" s="43"/>
    </row>
    <row r="12" spans="2:9" ht="3" customHeight="1">
      <c r="B12" s="110"/>
      <c r="H12" s="67"/>
    </row>
    <row r="13" spans="2:9">
      <c r="B13" s="109" t="s">
        <v>213</v>
      </c>
      <c r="C13" s="40" t="e">
        <f>(52/(#REF!/#REF!))*7</f>
        <v>#REF!</v>
      </c>
      <c r="D13" s="41" t="s">
        <v>212</v>
      </c>
      <c r="E13" s="564"/>
      <c r="F13" s="564"/>
      <c r="G13" s="564"/>
      <c r="H13" s="565"/>
    </row>
    <row r="14" spans="2:9" ht="3" customHeight="1">
      <c r="B14" s="110"/>
      <c r="H14" s="67"/>
    </row>
    <row r="15" spans="2:9">
      <c r="B15" s="109" t="s">
        <v>121</v>
      </c>
      <c r="C15" s="538"/>
      <c r="D15" s="538"/>
      <c r="E15" s="538"/>
      <c r="F15" s="538"/>
      <c r="G15" s="538"/>
      <c r="H15" s="539"/>
    </row>
    <row r="16" spans="2:9">
      <c r="B16" s="109" t="s">
        <v>122</v>
      </c>
      <c r="C16" s="538"/>
      <c r="D16" s="538"/>
      <c r="E16" s="538"/>
      <c r="F16" s="538"/>
      <c r="G16" s="538"/>
      <c r="H16" s="539"/>
    </row>
    <row r="17" spans="2:10" ht="3" customHeight="1">
      <c r="B17" s="110"/>
      <c r="H17" s="67"/>
    </row>
    <row r="18" spans="2:10" outlineLevel="1">
      <c r="B18" s="110"/>
      <c r="E18" s="82" t="s">
        <v>129</v>
      </c>
      <c r="H18" s="67"/>
    </row>
    <row r="19" spans="2:10" outlineLevel="1">
      <c r="B19" s="109" t="s">
        <v>126</v>
      </c>
      <c r="C19" s="45" t="e">
        <f>+E44</f>
        <v>#REF!</v>
      </c>
      <c r="E19" s="556"/>
      <c r="F19" s="556"/>
      <c r="G19" s="556"/>
      <c r="H19" s="557"/>
    </row>
    <row r="20" spans="2:10" outlineLevel="1">
      <c r="B20" s="109" t="s">
        <v>127</v>
      </c>
      <c r="C20" s="45" t="e">
        <f>E44*1.3</f>
        <v>#REF!</v>
      </c>
      <c r="E20" s="556"/>
      <c r="F20" s="556"/>
      <c r="G20" s="556"/>
      <c r="H20" s="557"/>
      <c r="J20" s="16" t="s">
        <v>207</v>
      </c>
    </row>
    <row r="21" spans="2:10" outlineLevel="1">
      <c r="B21" s="109" t="s">
        <v>137</v>
      </c>
      <c r="C21" s="44"/>
      <c r="E21" s="556"/>
      <c r="F21" s="556"/>
      <c r="G21" s="556"/>
      <c r="H21" s="557"/>
      <c r="J21" s="16" t="s">
        <v>208</v>
      </c>
    </row>
    <row r="22" spans="2:10" outlineLevel="1">
      <c r="B22" s="109" t="s">
        <v>136</v>
      </c>
      <c r="C22" s="44"/>
      <c r="E22" s="556"/>
      <c r="F22" s="556"/>
      <c r="G22" s="556"/>
      <c r="H22" s="557"/>
      <c r="J22" s="16" t="s">
        <v>209</v>
      </c>
    </row>
    <row r="23" spans="2:10" outlineLevel="1">
      <c r="B23" s="109" t="s">
        <v>140</v>
      </c>
      <c r="C23" s="44"/>
      <c r="E23" s="556"/>
      <c r="F23" s="556"/>
      <c r="G23" s="556"/>
      <c r="H23" s="557"/>
      <c r="J23" s="16" t="s">
        <v>210</v>
      </c>
    </row>
    <row r="24" spans="2:10" ht="3" customHeight="1" outlineLevel="1">
      <c r="B24" s="109"/>
      <c r="C24" s="17"/>
      <c r="E24" s="556"/>
      <c r="F24" s="556"/>
      <c r="G24" s="556"/>
      <c r="H24" s="557"/>
    </row>
    <row r="25" spans="2:10" outlineLevel="1">
      <c r="B25" s="109" t="s">
        <v>128</v>
      </c>
      <c r="C25" s="83" t="e">
        <f>SUM(Inputs!#REF!)</f>
        <v>#REF!</v>
      </c>
      <c r="E25" s="556"/>
      <c r="F25" s="556"/>
      <c r="G25" s="556"/>
      <c r="H25" s="557"/>
      <c r="J25" s="16" t="s">
        <v>211</v>
      </c>
    </row>
    <row r="26" spans="2:10">
      <c r="B26" s="71"/>
      <c r="C26" s="72"/>
      <c r="D26" s="72"/>
      <c r="E26" s="72"/>
      <c r="F26" s="72"/>
      <c r="G26" s="72"/>
      <c r="H26" s="73"/>
    </row>
    <row r="28" spans="2:10" outlineLevel="1">
      <c r="B28" s="112" t="s">
        <v>130</v>
      </c>
      <c r="C28" s="46" t="str">
        <f>+IF(C6="Guy's &amp; St Thomas'",VLOOKUP($C$7,'GSTT Resources'!$C$4:$S$41,14,FALSE),IF(C6="Kings College Hospital",VLOOKUP($C$7,'KCH Resources'!$C$4:$S$41,14,FALSE),"Error"))</f>
        <v>Error</v>
      </c>
      <c r="D28" s="48" t="s">
        <v>133</v>
      </c>
      <c r="E28" s="48"/>
      <c r="F28" s="49"/>
      <c r="G28" s="49"/>
      <c r="H28" s="50"/>
    </row>
    <row r="29" spans="2:10" outlineLevel="1">
      <c r="B29" s="113" t="s">
        <v>131</v>
      </c>
      <c r="C29" s="47" t="str">
        <f>+IF(C6="Guy's &amp; St Thomas'",VLOOKUP($C$7,'GSTT Resources'!$C$4:$S$41,17,FALSE),IF(C6="Kings College Hospital",VLOOKUP($C$7,'KCH Resources'!$C$4:$S$41,17,FALSE),"Error"))</f>
        <v>Error</v>
      </c>
      <c r="D29" s="47" t="s">
        <v>134</v>
      </c>
      <c r="E29" s="47"/>
      <c r="F29" s="51"/>
      <c r="G29" s="51"/>
      <c r="H29" s="52"/>
    </row>
    <row r="30" spans="2:10" outlineLevel="1">
      <c r="B30" s="113" t="s">
        <v>214</v>
      </c>
      <c r="C30" s="80">
        <v>0.27632467617860001</v>
      </c>
      <c r="D30" s="47" t="s">
        <v>135</v>
      </c>
      <c r="E30" s="47"/>
      <c r="F30" s="51"/>
      <c r="G30" s="51"/>
      <c r="H30" s="52"/>
    </row>
    <row r="31" spans="2:10" outlineLevel="1">
      <c r="B31" s="114" t="s">
        <v>132</v>
      </c>
      <c r="C31" s="81">
        <v>0.3</v>
      </c>
      <c r="D31" s="53" t="s">
        <v>135</v>
      </c>
      <c r="E31" s="53"/>
      <c r="F31" s="54"/>
      <c r="G31" s="54"/>
      <c r="H31" s="55"/>
    </row>
    <row r="32" spans="2:10" ht="15" customHeight="1">
      <c r="B32" s="40"/>
      <c r="C32" s="84"/>
    </row>
    <row r="33" spans="2:8" ht="15" customHeight="1" outlineLevel="1">
      <c r="B33" s="85"/>
      <c r="C33" s="86"/>
      <c r="D33" s="86"/>
      <c r="E33" s="86"/>
      <c r="F33" s="86"/>
      <c r="G33" s="86"/>
      <c r="H33" s="87"/>
    </row>
    <row r="34" spans="2:8" outlineLevel="1">
      <c r="B34" s="18"/>
      <c r="C34" s="104" t="s">
        <v>142</v>
      </c>
      <c r="D34" s="104" t="s">
        <v>143</v>
      </c>
      <c r="E34" s="104" t="s">
        <v>144</v>
      </c>
      <c r="G34" s="88" t="s">
        <v>129</v>
      </c>
      <c r="H34" s="67"/>
    </row>
    <row r="35" spans="2:8" outlineLevel="1">
      <c r="B35" s="109" t="s">
        <v>141</v>
      </c>
      <c r="C35" s="89" t="e">
        <f>Inputs!#REF!</f>
        <v>#REF!</v>
      </c>
      <c r="D35" s="84" t="e">
        <f>+C35*C28</f>
        <v>#REF!</v>
      </c>
      <c r="E35" s="90" t="e">
        <f>+SUM(C35:D35)</f>
        <v>#REF!</v>
      </c>
      <c r="G35" s="538"/>
      <c r="H35" s="67"/>
    </row>
    <row r="36" spans="2:8" outlineLevel="1">
      <c r="B36" s="109" t="s">
        <v>145</v>
      </c>
      <c r="C36" s="91">
        <f>IF(ISERROR(((Inputs!#REF!+Inputs!#REF!+Inputs!#REF!+Inputs!#REF!)/Inputs!#REF!)),0,((Inputs!#REF!+Inputs!#REF!+Inputs!#REF!+Inputs!#REF!)/Inputs!#REF!))</f>
        <v>0</v>
      </c>
      <c r="D36" s="90" t="e">
        <f>+C36*C29</f>
        <v>#VALUE!</v>
      </c>
      <c r="E36" s="90" t="e">
        <f>+D36</f>
        <v>#VALUE!</v>
      </c>
      <c r="F36" s="90"/>
      <c r="G36" s="538"/>
      <c r="H36" s="67"/>
    </row>
    <row r="37" spans="2:8" outlineLevel="1">
      <c r="B37" s="109" t="s">
        <v>148</v>
      </c>
      <c r="C37" s="89">
        <f>Inputs!W59</f>
        <v>0</v>
      </c>
      <c r="E37" s="90">
        <f>+SUM(C37:D37)</f>
        <v>0</v>
      </c>
      <c r="G37" s="538"/>
      <c r="H37" s="67"/>
    </row>
    <row r="38" spans="2:8" outlineLevel="1">
      <c r="B38" s="109" t="s">
        <v>0</v>
      </c>
      <c r="C38" s="89">
        <f>Inputs!W33</f>
        <v>0</v>
      </c>
      <c r="E38" s="90">
        <f>+SUM(C38:D38)</f>
        <v>0</v>
      </c>
      <c r="G38" s="538"/>
      <c r="H38" s="67"/>
    </row>
    <row r="39" spans="2:8" outlineLevel="1">
      <c r="B39" s="109" t="s">
        <v>194</v>
      </c>
      <c r="C39" s="89" t="e">
        <f>Inputs!#REF!</f>
        <v>#REF!</v>
      </c>
      <c r="E39" s="90" t="e">
        <f>+SUM(C39:D39)</f>
        <v>#REF!</v>
      </c>
      <c r="G39" s="538"/>
      <c r="H39" s="67"/>
    </row>
    <row r="40" spans="2:8" outlineLevel="1">
      <c r="B40" s="109" t="s">
        <v>193</v>
      </c>
      <c r="C40" s="92">
        <f>Inputs!W65</f>
        <v>0</v>
      </c>
      <c r="D40" s="72"/>
      <c r="E40" s="93">
        <f>+SUM(C40:D40)</f>
        <v>0</v>
      </c>
      <c r="G40" s="538"/>
      <c r="H40" s="67"/>
    </row>
    <row r="41" spans="2:8" outlineLevel="1">
      <c r="B41" s="109" t="s">
        <v>146</v>
      </c>
      <c r="C41" s="106"/>
      <c r="D41" s="107"/>
      <c r="E41" s="105" t="e">
        <f>SUM(E35:E40)</f>
        <v>#REF!</v>
      </c>
      <c r="G41" s="538"/>
      <c r="H41" s="94"/>
    </row>
    <row r="42" spans="2:8" outlineLevel="1">
      <c r="B42" s="109" t="s">
        <v>214</v>
      </c>
      <c r="C42" s="90"/>
      <c r="E42" s="90" t="e">
        <f>E41*C30</f>
        <v>#REF!</v>
      </c>
      <c r="G42" s="538"/>
      <c r="H42" s="95"/>
    </row>
    <row r="43" spans="2:8" outlineLevel="1">
      <c r="B43" s="109" t="s">
        <v>132</v>
      </c>
      <c r="C43" s="90"/>
      <c r="E43" s="90" t="e">
        <f>SUM(E41:E42)*C31</f>
        <v>#REF!</v>
      </c>
      <c r="G43" s="538"/>
      <c r="H43" s="67"/>
    </row>
    <row r="44" spans="2:8" ht="14.5" outlineLevel="1" thickBot="1">
      <c r="B44" s="109" t="s">
        <v>147</v>
      </c>
      <c r="E44" s="96" t="e">
        <f>+SUM(E41:E43)</f>
        <v>#REF!</v>
      </c>
      <c r="G44" s="538"/>
      <c r="H44" s="67"/>
    </row>
    <row r="45" spans="2:8" outlineLevel="1">
      <c r="B45" s="109"/>
      <c r="E45" s="84"/>
      <c r="G45" s="538"/>
      <c r="H45" s="67"/>
    </row>
    <row r="46" spans="2:8" outlineLevel="1">
      <c r="B46" s="109" t="s">
        <v>216</v>
      </c>
      <c r="E46" s="108" t="e">
        <f>+C25*C20</f>
        <v>#REF!</v>
      </c>
      <c r="G46" s="538"/>
      <c r="H46" s="67"/>
    </row>
    <row r="47" spans="2:8" outlineLevel="1">
      <c r="B47" s="109" t="s">
        <v>215</v>
      </c>
      <c r="E47" s="108" t="e">
        <f>+E44-E37</f>
        <v>#REF!</v>
      </c>
      <c r="G47" s="538"/>
      <c r="H47" s="67"/>
    </row>
    <row r="48" spans="2:8" outlineLevel="1">
      <c r="B48" s="109" t="s">
        <v>217</v>
      </c>
      <c r="E48" s="108" t="e">
        <f>+E47*C25</f>
        <v>#REF!</v>
      </c>
      <c r="G48" s="538"/>
      <c r="H48" s="67"/>
    </row>
    <row r="49" spans="2:10" outlineLevel="1">
      <c r="B49" s="111"/>
      <c r="C49" s="72"/>
      <c r="D49" s="72"/>
      <c r="E49" s="93"/>
      <c r="F49" s="72"/>
      <c r="G49" s="72"/>
      <c r="H49" s="73"/>
    </row>
    <row r="50" spans="2:10">
      <c r="B50" s="40"/>
      <c r="E50" s="90"/>
    </row>
    <row r="52" spans="2:10">
      <c r="B52" s="544" t="s">
        <v>153</v>
      </c>
      <c r="C52" s="97" t="s">
        <v>149</v>
      </c>
      <c r="D52" s="546"/>
      <c r="E52" s="547"/>
      <c r="F52" s="547"/>
      <c r="G52" s="547"/>
      <c r="H52" s="548"/>
    </row>
    <row r="53" spans="2:10" ht="42" customHeight="1">
      <c r="B53" s="555"/>
      <c r="C53" s="98" t="s">
        <v>150</v>
      </c>
      <c r="D53" s="546"/>
      <c r="E53" s="547"/>
      <c r="F53" s="547"/>
      <c r="G53" s="547"/>
      <c r="H53" s="548"/>
    </row>
    <row r="54" spans="2:10">
      <c r="B54" s="119"/>
    </row>
    <row r="55" spans="2:10">
      <c r="B55" s="544" t="s">
        <v>154</v>
      </c>
      <c r="C55" s="97" t="s">
        <v>149</v>
      </c>
      <c r="D55" s="546"/>
      <c r="E55" s="547"/>
      <c r="F55" s="547"/>
      <c r="G55" s="547"/>
      <c r="H55" s="548"/>
    </row>
    <row r="56" spans="2:10" ht="42" customHeight="1">
      <c r="B56" s="545"/>
      <c r="C56" s="98" t="s">
        <v>150</v>
      </c>
      <c r="D56" s="546"/>
      <c r="E56" s="547"/>
      <c r="F56" s="547"/>
      <c r="G56" s="547"/>
      <c r="H56" s="548"/>
    </row>
    <row r="58" spans="2:10">
      <c r="B58" s="99"/>
      <c r="C58" s="99"/>
      <c r="D58" s="99"/>
      <c r="E58" s="99"/>
      <c r="F58" s="99"/>
      <c r="G58" s="99"/>
      <c r="H58" s="99"/>
    </row>
    <row r="60" spans="2:10" ht="20">
      <c r="B60" s="543" t="s">
        <v>151</v>
      </c>
      <c r="C60" s="543"/>
      <c r="D60" s="543"/>
      <c r="E60" s="543"/>
      <c r="G60" s="543" t="s">
        <v>204</v>
      </c>
      <c r="H60" s="543"/>
      <c r="I60" s="74"/>
      <c r="J60" s="74"/>
    </row>
    <row r="62" spans="2:10">
      <c r="B62" s="115" t="s">
        <v>206</v>
      </c>
      <c r="C62" s="552"/>
      <c r="D62" s="553"/>
      <c r="E62" s="554"/>
      <c r="G62" s="100" t="s">
        <v>203</v>
      </c>
      <c r="H62" s="38" t="s">
        <v>201</v>
      </c>
    </row>
    <row r="63" spans="2:10">
      <c r="B63" s="120" t="s">
        <v>119</v>
      </c>
      <c r="C63" s="549"/>
      <c r="D63" s="550"/>
      <c r="E63" s="551"/>
      <c r="G63" s="101" t="s">
        <v>191</v>
      </c>
      <c r="H63" s="36" t="s">
        <v>201</v>
      </c>
    </row>
    <row r="64" spans="2:10">
      <c r="B64" s="120" t="s">
        <v>139</v>
      </c>
      <c r="C64" s="549"/>
      <c r="D64" s="550"/>
      <c r="E64" s="551"/>
      <c r="G64" s="102" t="s">
        <v>192</v>
      </c>
      <c r="H64" s="39" t="s">
        <v>201</v>
      </c>
    </row>
    <row r="65" spans="2:5">
      <c r="B65" s="120" t="s">
        <v>152</v>
      </c>
      <c r="C65" s="549"/>
      <c r="D65" s="550"/>
      <c r="E65" s="551"/>
    </row>
    <row r="66" spans="2:5">
      <c r="B66" s="116" t="s">
        <v>138</v>
      </c>
      <c r="C66" s="540"/>
      <c r="D66" s="541"/>
      <c r="E66" s="542"/>
    </row>
  </sheetData>
  <sheetProtection selectLockedCells="1"/>
  <mergeCells count="22">
    <mergeCell ref="C6:G6"/>
    <mergeCell ref="C4:G4"/>
    <mergeCell ref="C5:G5"/>
    <mergeCell ref="C15:H15"/>
    <mergeCell ref="C7:G7"/>
    <mergeCell ref="E13:H13"/>
    <mergeCell ref="C16:H16"/>
    <mergeCell ref="C66:E66"/>
    <mergeCell ref="B60:E60"/>
    <mergeCell ref="B55:B56"/>
    <mergeCell ref="D55:H55"/>
    <mergeCell ref="D56:H56"/>
    <mergeCell ref="C63:E63"/>
    <mergeCell ref="G60:H60"/>
    <mergeCell ref="C62:E62"/>
    <mergeCell ref="C64:E64"/>
    <mergeCell ref="C65:E65"/>
    <mergeCell ref="B52:B53"/>
    <mergeCell ref="D52:H52"/>
    <mergeCell ref="D53:H53"/>
    <mergeCell ref="E19:H25"/>
    <mergeCell ref="G35:G48"/>
  </mergeCells>
  <phoneticPr fontId="0" type="noConversion"/>
  <dataValidations count="6">
    <dataValidation allowBlank="1" showInputMessage="1" showErrorMessage="1" promptTitle="Corporate Overheads" prompt="Corporate Overhead Applied" sqref="C30" xr:uid="{00000000-0002-0000-0400-000000000000}"/>
    <dataValidation allowBlank="1" showInputMessage="1" showErrorMessage="1" promptTitle="Margin" prompt="% margin uplift to apply" sqref="C31" xr:uid="{00000000-0002-0000-0400-000001000000}"/>
    <dataValidation allowBlank="1" showInputMessage="1" showErrorMessage="1" promptTitle="Approval by Business Development" prompt="All Bills of Material must be approved by Business Development" sqref="D52:H52" xr:uid="{00000000-0002-0000-0400-000002000000}"/>
    <dataValidation allowBlank="1" showInputMessage="1" showErrorMessage="1" promptTitle="Approval by Finance" prompt="All Bills of Material must be approved by Finance Business Partner" sqref="D55:H55" xr:uid="{00000000-0002-0000-0400-000003000000}"/>
    <dataValidation allowBlank="1" showInputMessage="1" showErrorMessage="1" promptTitle="Competition" prompt="Who is our competition for this test?" sqref="C15:H15" xr:uid="{00000000-0002-0000-0400-000004000000}"/>
    <dataValidation allowBlank="1" showInputMessage="1" showErrorMessage="1" promptTitle="Competitive Pricing" prompt="What are competitors' prices?" sqref="C16:H16" xr:uid="{00000000-0002-0000-0400-000005000000}"/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J28"/>
  <sheetViews>
    <sheetView showGridLines="0" showZeros="0" zoomScaleNormal="100" workbookViewId="0">
      <selection activeCell="C13" sqref="C13"/>
    </sheetView>
  </sheetViews>
  <sheetFormatPr defaultColWidth="9.1796875" defaultRowHeight="14"/>
  <cols>
    <col min="1" max="1" width="4.54296875" style="16" customWidth="1"/>
    <col min="2" max="2" width="62.54296875" style="16" customWidth="1"/>
    <col min="3" max="3" width="14.54296875" style="16" customWidth="1"/>
    <col min="4" max="4" width="13" style="16" customWidth="1"/>
    <col min="5" max="5" width="20.81640625" style="16" customWidth="1"/>
    <col min="6" max="6" width="14.54296875" style="16" customWidth="1"/>
    <col min="7" max="7" width="37" style="16" customWidth="1"/>
    <col min="8" max="8" width="16.1796875" style="16" customWidth="1"/>
    <col min="9" max="9" width="6.54296875" style="16" customWidth="1"/>
    <col min="10" max="16384" width="9.1796875" style="16"/>
  </cols>
  <sheetData>
    <row r="1" spans="1:9">
      <c r="A1" s="16" t="s">
        <v>244</v>
      </c>
    </row>
    <row r="2" spans="1:9" ht="23">
      <c r="B2" s="37" t="s">
        <v>241</v>
      </c>
    </row>
    <row r="4" spans="1:9">
      <c r="B4" s="58" t="s">
        <v>221</v>
      </c>
      <c r="C4" s="585">
        <f>'BD Summary'!C4</f>
        <v>0</v>
      </c>
      <c r="D4" s="586"/>
      <c r="E4" s="586"/>
      <c r="F4" s="586"/>
      <c r="G4" s="586"/>
      <c r="H4" s="59"/>
    </row>
    <row r="5" spans="1:9">
      <c r="B5" s="60" t="s">
        <v>222</v>
      </c>
      <c r="C5" s="587">
        <f>'BD Summary'!C5</f>
        <v>0</v>
      </c>
      <c r="D5" s="588"/>
      <c r="E5" s="588"/>
      <c r="F5" s="588"/>
      <c r="G5" s="588"/>
      <c r="H5" s="61"/>
    </row>
    <row r="6" spans="1:9">
      <c r="B6" s="60" t="s">
        <v>220</v>
      </c>
      <c r="C6" s="587">
        <f>'BD Summary'!C6</f>
        <v>0</v>
      </c>
      <c r="D6" s="588"/>
      <c r="E6" s="588"/>
      <c r="F6" s="588"/>
      <c r="G6" s="588"/>
      <c r="H6" s="61"/>
    </row>
    <row r="7" spans="1:9">
      <c r="B7" s="62" t="s">
        <v>57</v>
      </c>
      <c r="C7" s="589">
        <f>'BD Summary'!C7</f>
        <v>0</v>
      </c>
      <c r="D7" s="590"/>
      <c r="E7" s="590"/>
      <c r="F7" s="590"/>
      <c r="G7" s="590"/>
      <c r="H7" s="63"/>
    </row>
    <row r="9" spans="1:9" ht="28">
      <c r="B9" s="64" t="s">
        <v>25</v>
      </c>
      <c r="C9" s="65" t="s">
        <v>125</v>
      </c>
      <c r="D9" s="65" t="s">
        <v>123</v>
      </c>
      <c r="E9" s="65" t="s">
        <v>124</v>
      </c>
      <c r="F9" s="65" t="s">
        <v>120</v>
      </c>
      <c r="G9" s="65" t="s">
        <v>223</v>
      </c>
      <c r="H9" s="66" t="s">
        <v>224</v>
      </c>
      <c r="I9" s="34"/>
    </row>
    <row r="10" spans="1:9" ht="3" customHeight="1">
      <c r="B10" s="18"/>
      <c r="H10" s="67"/>
    </row>
    <row r="11" spans="1:9">
      <c r="B11" s="68" t="s">
        <v>225</v>
      </c>
      <c r="C11" s="69">
        <f>'BD Summary'!C11</f>
        <v>0</v>
      </c>
      <c r="D11" s="69">
        <f>'BD Summary'!D11</f>
        <v>0</v>
      </c>
      <c r="E11" s="69">
        <f>'BD Summary'!E11</f>
        <v>0</v>
      </c>
      <c r="F11" s="69" t="str">
        <f>'BD Summary'!F11</f>
        <v>Not Required</v>
      </c>
      <c r="G11" s="69">
        <f>'BD Summary'!G11</f>
        <v>0</v>
      </c>
      <c r="H11" s="70">
        <f>'BD Summary'!H11</f>
        <v>0</v>
      </c>
    </row>
    <row r="12" spans="1:9" ht="3" customHeight="1">
      <c r="B12" s="18"/>
      <c r="H12" s="67"/>
    </row>
    <row r="13" spans="1:9">
      <c r="B13" s="68" t="s">
        <v>213</v>
      </c>
      <c r="C13" s="56" t="e">
        <f>'BD Summary'!C13</f>
        <v>#REF!</v>
      </c>
      <c r="D13" s="57" t="str">
        <f>'BD Summary'!D13</f>
        <v>Days</v>
      </c>
      <c r="E13" s="564">
        <f>'BD Summary'!E13</f>
        <v>0</v>
      </c>
      <c r="F13" s="564">
        <f>'BD Summary'!F13</f>
        <v>0</v>
      </c>
      <c r="G13" s="564">
        <f>'BD Summary'!G13</f>
        <v>0</v>
      </c>
      <c r="H13" s="565">
        <f>'BD Summary'!H13</f>
        <v>0</v>
      </c>
    </row>
    <row r="14" spans="1:9" ht="3" customHeight="1">
      <c r="B14" s="18"/>
      <c r="H14" s="67"/>
    </row>
    <row r="15" spans="1:9">
      <c r="B15" s="18"/>
      <c r="E15" s="16" t="s">
        <v>129</v>
      </c>
      <c r="H15" s="67"/>
    </row>
    <row r="16" spans="1:9">
      <c r="B16" s="68" t="s">
        <v>245</v>
      </c>
      <c r="C16" s="47" t="e">
        <f>'BD Summary'!C20</f>
        <v>#REF!</v>
      </c>
      <c r="E16" s="566">
        <f>'BD Summary'!E19</f>
        <v>0</v>
      </c>
      <c r="F16" s="567">
        <f>'BD Summary'!F19</f>
        <v>0</v>
      </c>
      <c r="G16" s="567">
        <f>'BD Summary'!G19</f>
        <v>0</v>
      </c>
      <c r="H16" s="568">
        <f>'BD Summary'!H19</f>
        <v>0</v>
      </c>
    </row>
    <row r="17" spans="2:10">
      <c r="B17" s="68"/>
      <c r="C17" s="78"/>
      <c r="E17" s="569">
        <f>'BD Summary'!E20</f>
        <v>0</v>
      </c>
      <c r="F17" s="570">
        <f>'BD Summary'!F20</f>
        <v>0</v>
      </c>
      <c r="G17" s="570">
        <f>'BD Summary'!G20</f>
        <v>0</v>
      </c>
      <c r="H17" s="571">
        <f>'BD Summary'!H20</f>
        <v>0</v>
      </c>
    </row>
    <row r="18" spans="2:10">
      <c r="B18" s="68" t="s">
        <v>243</v>
      </c>
      <c r="C18" s="79" t="e">
        <f>'BD Summary'!C25</f>
        <v>#REF!</v>
      </c>
      <c r="E18" s="569">
        <f>'BD Summary'!E21</f>
        <v>0</v>
      </c>
      <c r="F18" s="570">
        <f>'BD Summary'!F21</f>
        <v>0</v>
      </c>
      <c r="G18" s="570">
        <f>'BD Summary'!G21</f>
        <v>0</v>
      </c>
      <c r="H18" s="571">
        <f>'BD Summary'!H21</f>
        <v>0</v>
      </c>
    </row>
    <row r="19" spans="2:10">
      <c r="B19" s="68"/>
      <c r="E19" s="572">
        <f>'BD Summary'!E25</f>
        <v>0</v>
      </c>
      <c r="F19" s="573">
        <f>'BD Summary'!F25</f>
        <v>0</v>
      </c>
      <c r="G19" s="573">
        <f>'BD Summary'!G25</f>
        <v>0</v>
      </c>
      <c r="H19" s="574">
        <f>'BD Summary'!H25</f>
        <v>0</v>
      </c>
    </row>
    <row r="20" spans="2:10">
      <c r="B20" s="71"/>
      <c r="C20" s="72"/>
      <c r="D20" s="72"/>
      <c r="E20" s="72"/>
      <c r="F20" s="72"/>
      <c r="G20" s="72"/>
      <c r="H20" s="73"/>
    </row>
    <row r="22" spans="2:10" ht="20">
      <c r="B22" s="581" t="s">
        <v>242</v>
      </c>
      <c r="C22" s="581"/>
      <c r="D22" s="581"/>
      <c r="E22" s="581"/>
      <c r="I22" s="74"/>
      <c r="J22" s="74"/>
    </row>
    <row r="23" spans="2:10" ht="3" customHeight="1"/>
    <row r="24" spans="2:10">
      <c r="B24" s="75" t="s">
        <v>206</v>
      </c>
      <c r="C24" s="582">
        <f>'BD Summary'!C62</f>
        <v>0</v>
      </c>
      <c r="D24" s="583"/>
      <c r="E24" s="584"/>
    </row>
    <row r="25" spans="2:10">
      <c r="B25" s="76" t="s">
        <v>119</v>
      </c>
      <c r="C25" s="575">
        <f>'BD Summary'!C63</f>
        <v>0</v>
      </c>
      <c r="D25" s="576"/>
      <c r="E25" s="577"/>
    </row>
    <row r="26" spans="2:10">
      <c r="B26" s="76" t="s">
        <v>139</v>
      </c>
      <c r="C26" s="575">
        <f>'BD Summary'!C64</f>
        <v>0</v>
      </c>
      <c r="D26" s="576"/>
      <c r="E26" s="577"/>
    </row>
    <row r="27" spans="2:10">
      <c r="B27" s="76" t="s">
        <v>152</v>
      </c>
      <c r="C27" s="575">
        <f>'BD Summary'!C65</f>
        <v>0</v>
      </c>
      <c r="D27" s="576"/>
      <c r="E27" s="577"/>
    </row>
    <row r="28" spans="2:10">
      <c r="B28" s="77" t="s">
        <v>138</v>
      </c>
      <c r="C28" s="578">
        <f>'BD Summary'!C66</f>
        <v>0</v>
      </c>
      <c r="D28" s="579"/>
      <c r="E28" s="580"/>
    </row>
  </sheetData>
  <sheetProtection selectLockedCells="1"/>
  <mergeCells count="12">
    <mergeCell ref="C4:G4"/>
    <mergeCell ref="C5:G5"/>
    <mergeCell ref="C6:G6"/>
    <mergeCell ref="C7:G7"/>
    <mergeCell ref="E13:H13"/>
    <mergeCell ref="E16:H19"/>
    <mergeCell ref="C25:E25"/>
    <mergeCell ref="C26:E26"/>
    <mergeCell ref="C27:E27"/>
    <mergeCell ref="C28:E28"/>
    <mergeCell ref="B22:E22"/>
    <mergeCell ref="C24:E2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Q66"/>
  <sheetViews>
    <sheetView topLeftCell="A2" zoomScale="85" zoomScaleNormal="85" workbookViewId="0">
      <selection activeCell="J10" sqref="J10"/>
    </sheetView>
  </sheetViews>
  <sheetFormatPr defaultRowHeight="14.5"/>
  <cols>
    <col min="2" max="2" width="36.54296875" bestFit="1" customWidth="1"/>
    <col min="3" max="3" width="29.54296875" bestFit="1" customWidth="1"/>
    <col min="4" max="4" width="16.1796875" bestFit="1" customWidth="1"/>
    <col min="5" max="5" width="26.1796875" bestFit="1" customWidth="1"/>
    <col min="6" max="6" width="14.1796875" bestFit="1" customWidth="1"/>
    <col min="7" max="8" width="15.54296875" customWidth="1"/>
    <col min="9" max="11" width="6.54296875" customWidth="1"/>
    <col min="12" max="12" width="19" bestFit="1" customWidth="1"/>
    <col min="13" max="13" width="16.453125" bestFit="1" customWidth="1"/>
    <col min="14" max="14" width="14.1796875" bestFit="1" customWidth="1"/>
    <col min="15" max="16" width="13.1796875" customWidth="1"/>
    <col min="17" max="17" width="26.81640625" bestFit="1" customWidth="1"/>
  </cols>
  <sheetData>
    <row r="2" spans="2:17" s="235" customFormat="1" ht="39">
      <c r="B2" s="232" t="s">
        <v>304</v>
      </c>
      <c r="C2" s="232" t="s">
        <v>305</v>
      </c>
      <c r="D2" s="233" t="s">
        <v>220</v>
      </c>
      <c r="E2" s="233" t="s">
        <v>300</v>
      </c>
      <c r="F2" s="233" t="s">
        <v>301</v>
      </c>
      <c r="G2" s="234" t="s">
        <v>302</v>
      </c>
      <c r="H2" s="234" t="s">
        <v>303</v>
      </c>
      <c r="I2" s="232"/>
      <c r="J2" s="232"/>
      <c r="K2" s="232"/>
      <c r="L2" s="232" t="s">
        <v>305</v>
      </c>
      <c r="M2" s="233" t="s">
        <v>220</v>
      </c>
      <c r="N2" s="233" t="s">
        <v>301</v>
      </c>
      <c r="O2" s="233" t="s">
        <v>302</v>
      </c>
      <c r="P2" s="233" t="s">
        <v>303</v>
      </c>
    </row>
    <row r="3" spans="2:17">
      <c r="B3" s="23" t="str">
        <f t="shared" ref="B3:B34" si="0">+D3&amp;E3</f>
        <v>GSTTCore Chemistry</v>
      </c>
      <c r="C3" s="23" t="str">
        <f t="shared" ref="C3:C34" si="1">D3&amp;F3</f>
        <v>GSTTBlood Sciences</v>
      </c>
      <c r="D3" s="23" t="s">
        <v>264</v>
      </c>
      <c r="E3" s="103" t="s">
        <v>155</v>
      </c>
      <c r="F3" s="103" t="s">
        <v>268</v>
      </c>
      <c r="G3" s="230">
        <f t="shared" ref="G3:G34" si="2">INDEX($O$3:$O$32,MATCH($C3,$L$3:$L$32,0))</f>
        <v>0.68462016961206107</v>
      </c>
      <c r="H3" s="230">
        <f t="shared" ref="H3:H34" si="3">INDEX($P$3:$P$32,MATCH($C3,$L$3:$L$32,0))</f>
        <v>0.13863862001482807</v>
      </c>
      <c r="I3" s="23"/>
      <c r="J3" s="23"/>
      <c r="K3" s="23"/>
      <c r="L3" s="150" t="str">
        <f>M3&amp;N3</f>
        <v>GSTTBlood Sciences</v>
      </c>
      <c r="M3" s="144" t="s">
        <v>264</v>
      </c>
      <c r="N3" s="144" t="s">
        <v>268</v>
      </c>
      <c r="O3" s="231">
        <v>0.68462016961206107</v>
      </c>
      <c r="P3" s="231">
        <v>0.13863862001482807</v>
      </c>
    </row>
    <row r="4" spans="2:17">
      <c r="B4" s="23" t="str">
        <f t="shared" si="0"/>
        <v>GSTTArray</v>
      </c>
      <c r="C4" s="23" t="str">
        <f t="shared" si="1"/>
        <v>GSTTBlood Sciences</v>
      </c>
      <c r="D4" s="23" t="s">
        <v>264</v>
      </c>
      <c r="E4" s="103" t="s">
        <v>196</v>
      </c>
      <c r="F4" s="103" t="s">
        <v>268</v>
      </c>
      <c r="G4" s="230">
        <f t="shared" si="2"/>
        <v>0.68462016961206107</v>
      </c>
      <c r="H4" s="230">
        <f t="shared" si="3"/>
        <v>0.13863862001482807</v>
      </c>
      <c r="I4" s="23"/>
      <c r="J4" s="23"/>
      <c r="K4" s="23"/>
      <c r="L4" s="150" t="str">
        <f t="shared" ref="L4:L19" si="4">M4&amp;N4</f>
        <v>GSTTGenetics</v>
      </c>
      <c r="M4" s="144" t="s">
        <v>264</v>
      </c>
      <c r="N4" s="23" t="s">
        <v>306</v>
      </c>
      <c r="O4" s="231">
        <v>0.71095632606905634</v>
      </c>
      <c r="P4" s="231">
        <v>0.36452587625418542</v>
      </c>
    </row>
    <row r="5" spans="2:17">
      <c r="B5" s="23" t="str">
        <f t="shared" si="0"/>
        <v>GSTTBiochemical Genetics</v>
      </c>
      <c r="C5" s="23" t="str">
        <f t="shared" si="1"/>
        <v>GSTTGenetics</v>
      </c>
      <c r="D5" s="23" t="s">
        <v>264</v>
      </c>
      <c r="E5" s="103" t="s">
        <v>171</v>
      </c>
      <c r="F5" s="103" t="s">
        <v>306</v>
      </c>
      <c r="G5" s="230">
        <f t="shared" si="2"/>
        <v>0.71095632606905634</v>
      </c>
      <c r="H5" s="230">
        <f t="shared" si="3"/>
        <v>0.36452587625418542</v>
      </c>
      <c r="I5" s="23"/>
      <c r="J5" s="23"/>
      <c r="K5" s="23"/>
      <c r="L5" s="150" t="str">
        <f t="shared" si="4"/>
        <v>GSTTInfection Sciences</v>
      </c>
      <c r="M5" s="144" t="s">
        <v>264</v>
      </c>
      <c r="N5" s="23" t="s">
        <v>307</v>
      </c>
      <c r="O5" s="231">
        <v>0.63008713834642638</v>
      </c>
      <c r="P5" s="231">
        <v>0.2043771221333493</v>
      </c>
    </row>
    <row r="6" spans="2:17">
      <c r="B6" s="23" t="str">
        <f t="shared" si="0"/>
        <v>GSTTBlood Transfusion</v>
      </c>
      <c r="C6" s="23" t="str">
        <f t="shared" si="1"/>
        <v>GSTTBlood Sciences</v>
      </c>
      <c r="D6" s="23" t="s">
        <v>264</v>
      </c>
      <c r="E6" s="103" t="s">
        <v>158</v>
      </c>
      <c r="F6" s="103" t="s">
        <v>268</v>
      </c>
      <c r="G6" s="230">
        <f t="shared" si="2"/>
        <v>0.68462016961206107</v>
      </c>
      <c r="H6" s="230">
        <f t="shared" si="3"/>
        <v>0.13863862001482807</v>
      </c>
      <c r="I6" s="23"/>
      <c r="J6" s="23"/>
      <c r="K6" s="23"/>
      <c r="L6" s="150" t="str">
        <f t="shared" si="4"/>
        <v>GSTTReference</v>
      </c>
      <c r="M6" s="144" t="s">
        <v>264</v>
      </c>
      <c r="N6" s="23" t="s">
        <v>308</v>
      </c>
      <c r="O6" s="231">
        <v>0.49042888139836699</v>
      </c>
      <c r="P6" s="231">
        <v>0.25860127111118558</v>
      </c>
    </row>
    <row r="7" spans="2:17">
      <c r="B7" s="23" t="str">
        <f t="shared" si="0"/>
        <v>GSTTClinical Transplantation</v>
      </c>
      <c r="C7" s="23" t="str">
        <f t="shared" si="1"/>
        <v>GSTTReference</v>
      </c>
      <c r="D7" s="23" t="s">
        <v>264</v>
      </c>
      <c r="E7" s="103" t="s">
        <v>167</v>
      </c>
      <c r="F7" s="103" t="s">
        <v>308</v>
      </c>
      <c r="G7" s="230">
        <f t="shared" si="2"/>
        <v>0.49042888139836699</v>
      </c>
      <c r="H7" s="230">
        <f t="shared" si="3"/>
        <v>0.25860127111118558</v>
      </c>
      <c r="I7" s="23"/>
      <c r="J7" s="23"/>
      <c r="K7" s="23"/>
      <c r="L7" s="150" t="str">
        <f t="shared" si="4"/>
        <v>GSTTTissue Sciences</v>
      </c>
      <c r="M7" s="144" t="s">
        <v>264</v>
      </c>
      <c r="N7" s="23" t="s">
        <v>309</v>
      </c>
      <c r="O7" s="231">
        <v>0.48877208459516414</v>
      </c>
      <c r="P7" s="231">
        <v>0.32618847211403623</v>
      </c>
    </row>
    <row r="8" spans="2:17">
      <c r="B8" s="23" t="str">
        <f t="shared" si="0"/>
        <v>GSTTConstitutional/Breakage</v>
      </c>
      <c r="C8" s="23" t="str">
        <f t="shared" si="1"/>
        <v>GSTTGenetics</v>
      </c>
      <c r="D8" s="23" t="s">
        <v>264</v>
      </c>
      <c r="E8" s="103" t="s">
        <v>197</v>
      </c>
      <c r="F8" s="103" t="s">
        <v>306</v>
      </c>
      <c r="G8" s="230">
        <f t="shared" si="2"/>
        <v>0.71095632606905634</v>
      </c>
      <c r="H8" s="230">
        <f t="shared" si="3"/>
        <v>0.36452587625418542</v>
      </c>
      <c r="I8" s="23"/>
      <c r="J8" s="23"/>
      <c r="K8" s="23"/>
      <c r="L8" s="150" t="str">
        <f t="shared" si="4"/>
        <v>KCH Denmark HillBlood Sciences</v>
      </c>
      <c r="M8" s="23" t="s">
        <v>265</v>
      </c>
      <c r="N8" s="23" t="s">
        <v>268</v>
      </c>
      <c r="O8" s="231">
        <v>0.85694081151743329</v>
      </c>
      <c r="P8" s="231">
        <v>0.43796377598642411</v>
      </c>
    </row>
    <row r="9" spans="2:17">
      <c r="B9" s="23" t="str">
        <f t="shared" si="0"/>
        <v>GSTTCore Haematology</v>
      </c>
      <c r="C9" s="23" t="str">
        <f t="shared" si="1"/>
        <v>GSTTBlood Sciences</v>
      </c>
      <c r="D9" s="23" t="s">
        <v>264</v>
      </c>
      <c r="E9" s="103" t="s">
        <v>156</v>
      </c>
      <c r="F9" s="103" t="s">
        <v>268</v>
      </c>
      <c r="G9" s="230">
        <f t="shared" si="2"/>
        <v>0.68462016961206107</v>
      </c>
      <c r="H9" s="230">
        <f t="shared" si="3"/>
        <v>0.13863862001482807</v>
      </c>
      <c r="I9" s="23"/>
      <c r="J9" s="23"/>
      <c r="K9" s="23"/>
      <c r="L9" s="150" t="str">
        <f t="shared" si="4"/>
        <v>KCH Denmark HillInfection Sciences</v>
      </c>
      <c r="M9" s="23" t="s">
        <v>265</v>
      </c>
      <c r="N9" s="23" t="s">
        <v>307</v>
      </c>
      <c r="O9" s="231">
        <v>0.53070904216414994</v>
      </c>
      <c r="P9" s="231">
        <v>0.31985830471839194</v>
      </c>
    </row>
    <row r="10" spans="2:17">
      <c r="B10" s="23" t="str">
        <f t="shared" si="0"/>
        <v>GSTTCytogenetics</v>
      </c>
      <c r="C10" s="23" t="str">
        <f t="shared" si="1"/>
        <v>GSTTReference</v>
      </c>
      <c r="D10" s="23" t="s">
        <v>264</v>
      </c>
      <c r="E10" s="103" t="s">
        <v>170</v>
      </c>
      <c r="F10" s="103" t="s">
        <v>308</v>
      </c>
      <c r="G10" s="230">
        <f t="shared" si="2"/>
        <v>0.49042888139836699</v>
      </c>
      <c r="H10" s="230">
        <f t="shared" si="3"/>
        <v>0.25860127111118558</v>
      </c>
      <c r="I10" s="23"/>
      <c r="J10" s="23"/>
      <c r="K10" s="23"/>
      <c r="L10" s="150" t="str">
        <f t="shared" si="4"/>
        <v>KCH Denmark HillReference</v>
      </c>
      <c r="M10" s="23" t="s">
        <v>265</v>
      </c>
      <c r="N10" s="23" t="s">
        <v>308</v>
      </c>
      <c r="O10" s="231">
        <v>0.53220619956670545</v>
      </c>
      <c r="P10" s="231">
        <v>0.35705876520937868</v>
      </c>
    </row>
    <row r="11" spans="2:17">
      <c r="B11" s="23" t="str">
        <f t="shared" si="0"/>
        <v>GSTTCytology</v>
      </c>
      <c r="C11" s="23" t="str">
        <f t="shared" si="1"/>
        <v>GSTTTissue Sciences</v>
      </c>
      <c r="D11" s="23" t="s">
        <v>264</v>
      </c>
      <c r="E11" s="103" t="s">
        <v>159</v>
      </c>
      <c r="F11" s="103" t="s">
        <v>309</v>
      </c>
      <c r="G11" s="230">
        <f t="shared" si="2"/>
        <v>0.48877208459516414</v>
      </c>
      <c r="H11" s="230">
        <f t="shared" si="3"/>
        <v>0.32618847211403623</v>
      </c>
      <c r="I11" s="23"/>
      <c r="J11" s="23"/>
      <c r="K11" s="23"/>
      <c r="L11" s="150" t="str">
        <f t="shared" si="4"/>
        <v>KCH Denmark HillTissue Sciences</v>
      </c>
      <c r="M11" s="23" t="s">
        <v>265</v>
      </c>
      <c r="N11" s="23" t="s">
        <v>309</v>
      </c>
      <c r="O11" s="231">
        <v>0.48877208459516414</v>
      </c>
      <c r="P11" s="231">
        <v>0.60504874714690648</v>
      </c>
    </row>
    <row r="12" spans="2:17">
      <c r="B12" s="23" t="str">
        <f t="shared" si="0"/>
        <v>GSTTDermatohistopathology</v>
      </c>
      <c r="C12" s="23" t="str">
        <f t="shared" si="1"/>
        <v>GSTTTissue Sciences</v>
      </c>
      <c r="D12" s="23" t="s">
        <v>264</v>
      </c>
      <c r="E12" s="103" t="s">
        <v>180</v>
      </c>
      <c r="F12" s="103" t="s">
        <v>309</v>
      </c>
      <c r="G12" s="230">
        <f t="shared" si="2"/>
        <v>0.48877208459516414</v>
      </c>
      <c r="H12" s="230">
        <f t="shared" si="3"/>
        <v>0.32618847211403623</v>
      </c>
      <c r="I12" s="23"/>
      <c r="J12" s="23"/>
      <c r="K12" s="23"/>
      <c r="L12" s="150" t="str">
        <f t="shared" si="4"/>
        <v>KCH PRUHBlood Sciences</v>
      </c>
      <c r="M12" s="23" t="s">
        <v>266</v>
      </c>
      <c r="N12" s="23" t="s">
        <v>268</v>
      </c>
      <c r="O12" s="231">
        <v>0.85694081151743329</v>
      </c>
      <c r="P12" s="231">
        <v>0.43796377598642411</v>
      </c>
      <c r="Q12" t="s">
        <v>310</v>
      </c>
    </row>
    <row r="13" spans="2:17">
      <c r="B13" s="23" t="str">
        <f t="shared" si="0"/>
        <v>GSTTDiagnostic Haemostasis</v>
      </c>
      <c r="C13" s="23" t="str">
        <f t="shared" si="1"/>
        <v>GSTTReference</v>
      </c>
      <c r="D13" s="23" t="s">
        <v>264</v>
      </c>
      <c r="E13" s="103" t="s">
        <v>174</v>
      </c>
      <c r="F13" s="103" t="s">
        <v>308</v>
      </c>
      <c r="G13" s="230">
        <f t="shared" si="2"/>
        <v>0.49042888139836699</v>
      </c>
      <c r="H13" s="230">
        <f t="shared" si="3"/>
        <v>0.25860127111118558</v>
      </c>
      <c r="I13" s="23"/>
      <c r="J13" s="23"/>
      <c r="K13" s="23"/>
      <c r="L13" s="150" t="str">
        <f t="shared" si="4"/>
        <v>KCH PRUHInfection Sciences</v>
      </c>
      <c r="M13" s="23" t="s">
        <v>266</v>
      </c>
      <c r="N13" s="23" t="s">
        <v>307</v>
      </c>
      <c r="O13" s="231">
        <v>0.53070904216414994</v>
      </c>
      <c r="P13" s="231">
        <v>0.31985830471839194</v>
      </c>
      <c r="Q13" t="s">
        <v>310</v>
      </c>
    </row>
    <row r="14" spans="2:17">
      <c r="B14" s="23" t="str">
        <f t="shared" si="0"/>
        <v>GSTTDNA Genetics</v>
      </c>
      <c r="C14" s="23" t="str">
        <f t="shared" si="1"/>
        <v>GSTTGenetics</v>
      </c>
      <c r="D14" s="23" t="s">
        <v>264</v>
      </c>
      <c r="E14" s="103" t="s">
        <v>169</v>
      </c>
      <c r="F14" s="103" t="s">
        <v>306</v>
      </c>
      <c r="G14" s="230">
        <f t="shared" si="2"/>
        <v>0.71095632606905634</v>
      </c>
      <c r="H14" s="230">
        <f t="shared" si="3"/>
        <v>0.36452587625418542</v>
      </c>
      <c r="I14" s="23"/>
      <c r="J14" s="23"/>
      <c r="K14" s="23"/>
      <c r="L14" s="150" t="str">
        <f t="shared" si="4"/>
        <v>KCH PRUHReference</v>
      </c>
      <c r="M14" s="23" t="s">
        <v>266</v>
      </c>
      <c r="N14" s="23" t="s">
        <v>308</v>
      </c>
      <c r="O14" s="231">
        <v>0.53220619956670545</v>
      </c>
      <c r="P14" s="231">
        <v>0.35705876520937868</v>
      </c>
      <c r="Q14" t="s">
        <v>310</v>
      </c>
    </row>
    <row r="15" spans="2:17">
      <c r="B15" s="23" t="str">
        <f t="shared" si="0"/>
        <v>GSTTEB Laboratory</v>
      </c>
      <c r="C15" s="23" t="str">
        <f t="shared" si="1"/>
        <v>GSTTTissue Sciences</v>
      </c>
      <c r="D15" s="23" t="s">
        <v>264</v>
      </c>
      <c r="E15" s="103" t="s">
        <v>181</v>
      </c>
      <c r="F15" s="103" t="s">
        <v>309</v>
      </c>
      <c r="G15" s="230">
        <f t="shared" si="2"/>
        <v>0.48877208459516414</v>
      </c>
      <c r="H15" s="230">
        <f t="shared" si="3"/>
        <v>0.32618847211403623</v>
      </c>
      <c r="I15" s="23"/>
      <c r="J15" s="23"/>
      <c r="K15" s="23"/>
      <c r="L15" s="150" t="str">
        <f t="shared" si="4"/>
        <v>KCH PRUHTissue Sciences</v>
      </c>
      <c r="M15" s="23" t="s">
        <v>266</v>
      </c>
      <c r="N15" s="23" t="s">
        <v>309</v>
      </c>
      <c r="O15" s="231">
        <v>0.48877208459516414</v>
      </c>
      <c r="P15" s="231">
        <v>0.60504874714690648</v>
      </c>
      <c r="Q15" t="s">
        <v>310</v>
      </c>
    </row>
    <row r="16" spans="2:17">
      <c r="B16" s="23" t="str">
        <f t="shared" si="0"/>
        <v>GSTTHistopathology</v>
      </c>
      <c r="C16" s="23" t="str">
        <f t="shared" si="1"/>
        <v>GSTTTissue Sciences</v>
      </c>
      <c r="D16" s="23" t="s">
        <v>264</v>
      </c>
      <c r="E16" s="103" t="s">
        <v>160</v>
      </c>
      <c r="F16" s="103" t="s">
        <v>309</v>
      </c>
      <c r="G16" s="230">
        <f t="shared" si="2"/>
        <v>0.48877208459516414</v>
      </c>
      <c r="H16" s="230">
        <f t="shared" si="3"/>
        <v>0.32618847211403623</v>
      </c>
      <c r="I16" s="23"/>
      <c r="J16" s="23"/>
      <c r="K16" s="23"/>
      <c r="L16" s="150" t="str">
        <f t="shared" si="4"/>
        <v>BedfordBlood Sciences</v>
      </c>
      <c r="M16" s="23" t="s">
        <v>232</v>
      </c>
      <c r="N16" s="23" t="s">
        <v>268</v>
      </c>
      <c r="O16" s="231">
        <v>0.85694081151743329</v>
      </c>
      <c r="P16" s="231">
        <v>0.43796377598642411</v>
      </c>
      <c r="Q16" t="s">
        <v>310</v>
      </c>
    </row>
    <row r="17" spans="2:17">
      <c r="B17" s="23" t="str">
        <f t="shared" si="0"/>
        <v>GSTTIMF</v>
      </c>
      <c r="C17" s="23" t="str">
        <f t="shared" si="1"/>
        <v>GSTTTissue Sciences</v>
      </c>
      <c r="D17" s="23" t="s">
        <v>264</v>
      </c>
      <c r="E17" s="103" t="s">
        <v>182</v>
      </c>
      <c r="F17" s="103" t="s">
        <v>309</v>
      </c>
      <c r="G17" s="230">
        <f t="shared" si="2"/>
        <v>0.48877208459516414</v>
      </c>
      <c r="H17" s="230">
        <f t="shared" si="3"/>
        <v>0.32618847211403623</v>
      </c>
      <c r="I17" s="23"/>
      <c r="J17" s="23"/>
      <c r="K17" s="23"/>
      <c r="L17" s="150" t="str">
        <f t="shared" si="4"/>
        <v>BedfordInfection Sciences</v>
      </c>
      <c r="M17" s="23" t="s">
        <v>232</v>
      </c>
      <c r="N17" s="23" t="s">
        <v>307</v>
      </c>
      <c r="O17" s="231">
        <v>0.53070904216414994</v>
      </c>
      <c r="P17" s="231">
        <v>0.31985830471839194</v>
      </c>
      <c r="Q17" t="s">
        <v>310</v>
      </c>
    </row>
    <row r="18" spans="2:17">
      <c r="B18" s="23" t="str">
        <f t="shared" si="0"/>
        <v>GSTTImmunology</v>
      </c>
      <c r="C18" s="23" t="str">
        <f t="shared" si="1"/>
        <v>GSTTReference</v>
      </c>
      <c r="D18" s="23" t="s">
        <v>264</v>
      </c>
      <c r="E18" s="103" t="s">
        <v>164</v>
      </c>
      <c r="F18" s="103" t="s">
        <v>308</v>
      </c>
      <c r="G18" s="230">
        <f t="shared" si="2"/>
        <v>0.49042888139836699</v>
      </c>
      <c r="H18" s="230">
        <f t="shared" si="3"/>
        <v>0.25860127111118558</v>
      </c>
      <c r="I18" s="23"/>
      <c r="J18" s="23"/>
      <c r="K18" s="23"/>
      <c r="L18" s="150" t="str">
        <f t="shared" si="4"/>
        <v>BedfordReference</v>
      </c>
      <c r="M18" s="23" t="s">
        <v>232</v>
      </c>
      <c r="N18" s="23" t="s">
        <v>308</v>
      </c>
      <c r="O18" s="231">
        <v>0.53220619956670545</v>
      </c>
      <c r="P18" s="231">
        <v>0.35705876520937868</v>
      </c>
      <c r="Q18" t="s">
        <v>310</v>
      </c>
    </row>
    <row r="19" spans="2:17">
      <c r="B19" s="23" t="str">
        <f t="shared" si="0"/>
        <v>GSTTInherrited Metabolic Disorders</v>
      </c>
      <c r="C19" s="23" t="str">
        <f t="shared" si="1"/>
        <v>GSTTReference</v>
      </c>
      <c r="D19" s="23" t="s">
        <v>264</v>
      </c>
      <c r="E19" s="103" t="s">
        <v>176</v>
      </c>
      <c r="F19" s="103" t="s">
        <v>308</v>
      </c>
      <c r="G19" s="230">
        <f t="shared" si="2"/>
        <v>0.49042888139836699</v>
      </c>
      <c r="H19" s="230">
        <f t="shared" si="3"/>
        <v>0.25860127111118558</v>
      </c>
      <c r="I19" s="23"/>
      <c r="J19" s="23"/>
      <c r="K19" s="23"/>
      <c r="L19" s="150" t="str">
        <f t="shared" si="4"/>
        <v>BedfordTissue Sciences</v>
      </c>
      <c r="M19" s="23" t="s">
        <v>232</v>
      </c>
      <c r="N19" s="23" t="s">
        <v>309</v>
      </c>
      <c r="O19" s="231">
        <v>0.48877208459516414</v>
      </c>
      <c r="P19" s="231">
        <v>0.60504874714690648</v>
      </c>
      <c r="Q19" t="s">
        <v>310</v>
      </c>
    </row>
    <row r="20" spans="2:17">
      <c r="B20" s="23" t="str">
        <f t="shared" si="0"/>
        <v>GSTTMicrobiology</v>
      </c>
      <c r="C20" s="23" t="str">
        <f t="shared" si="1"/>
        <v>GSTTInfection Sciences</v>
      </c>
      <c r="D20" s="23" t="s">
        <v>264</v>
      </c>
      <c r="E20" s="103" t="s">
        <v>161</v>
      </c>
      <c r="F20" s="103" t="s">
        <v>307</v>
      </c>
      <c r="G20" s="230">
        <f t="shared" si="2"/>
        <v>0.63008713834642638</v>
      </c>
      <c r="H20" s="230">
        <f t="shared" si="3"/>
        <v>0.2043771221333493</v>
      </c>
      <c r="I20" s="23"/>
      <c r="J20" s="23"/>
      <c r="K20" s="23"/>
      <c r="L20" s="23"/>
      <c r="M20" s="23"/>
      <c r="N20" s="23"/>
      <c r="O20" s="23"/>
      <c r="P20" s="23"/>
    </row>
    <row r="21" spans="2:17">
      <c r="B21" s="23" t="str">
        <f t="shared" si="0"/>
        <v>GSTTMolecular</v>
      </c>
      <c r="C21" s="23" t="str">
        <f t="shared" si="1"/>
        <v>GSTTGenetics</v>
      </c>
      <c r="D21" s="23" t="s">
        <v>264</v>
      </c>
      <c r="E21" s="103" t="s">
        <v>166</v>
      </c>
      <c r="F21" s="103" t="s">
        <v>306</v>
      </c>
      <c r="G21" s="230">
        <f t="shared" si="2"/>
        <v>0.71095632606905634</v>
      </c>
      <c r="H21" s="230">
        <f t="shared" si="3"/>
        <v>0.36452587625418542</v>
      </c>
      <c r="I21" s="23"/>
      <c r="J21" s="23"/>
      <c r="K21" s="23"/>
      <c r="L21" s="23"/>
      <c r="M21" s="23"/>
      <c r="N21" s="23"/>
      <c r="O21" s="23"/>
      <c r="P21" s="23"/>
    </row>
    <row r="22" spans="2:17">
      <c r="B22" s="23" t="str">
        <f t="shared" si="0"/>
        <v>GSTTMolecular Haemostasis</v>
      </c>
      <c r="C22" s="23" t="str">
        <f t="shared" si="1"/>
        <v>GSTTReference</v>
      </c>
      <c r="D22" s="23" t="s">
        <v>264</v>
      </c>
      <c r="E22" s="103" t="s">
        <v>173</v>
      </c>
      <c r="F22" s="103" t="s">
        <v>308</v>
      </c>
      <c r="G22" s="230">
        <f t="shared" si="2"/>
        <v>0.49042888139836699</v>
      </c>
      <c r="H22" s="230">
        <f t="shared" si="3"/>
        <v>0.25860127111118558</v>
      </c>
      <c r="I22" s="23"/>
      <c r="J22" s="23"/>
      <c r="K22" s="23"/>
      <c r="L22" s="23"/>
      <c r="M22" s="23"/>
      <c r="N22" s="23"/>
      <c r="O22" s="23"/>
      <c r="P22" s="23"/>
    </row>
    <row r="23" spans="2:17">
      <c r="B23" s="23" t="str">
        <f t="shared" si="0"/>
        <v>GSTTMycology</v>
      </c>
      <c r="C23" s="23" t="str">
        <f t="shared" si="1"/>
        <v>GSTTTissue Sciences</v>
      </c>
      <c r="D23" s="23" t="s">
        <v>264</v>
      </c>
      <c r="E23" s="103" t="s">
        <v>183</v>
      </c>
      <c r="F23" s="103" t="s">
        <v>309</v>
      </c>
      <c r="G23" s="230">
        <f t="shared" si="2"/>
        <v>0.48877208459516414</v>
      </c>
      <c r="H23" s="230">
        <f t="shared" si="3"/>
        <v>0.32618847211403623</v>
      </c>
      <c r="I23" s="23"/>
      <c r="J23" s="23"/>
      <c r="K23" s="23"/>
      <c r="L23" s="23"/>
      <c r="M23" s="23"/>
      <c r="N23" s="23"/>
      <c r="O23" s="23"/>
      <c r="P23" s="23"/>
    </row>
    <row r="24" spans="2:17">
      <c r="B24" s="23" t="str">
        <f t="shared" si="0"/>
        <v>GSTTNew Born Screening</v>
      </c>
      <c r="C24" s="23" t="str">
        <f t="shared" si="1"/>
        <v>GSTTReference</v>
      </c>
      <c r="D24" s="23" t="s">
        <v>264</v>
      </c>
      <c r="E24" s="103" t="s">
        <v>177</v>
      </c>
      <c r="F24" s="103" t="s">
        <v>308</v>
      </c>
      <c r="G24" s="230">
        <f t="shared" si="2"/>
        <v>0.49042888139836699</v>
      </c>
      <c r="H24" s="230">
        <f t="shared" si="3"/>
        <v>0.25860127111118558</v>
      </c>
      <c r="I24" s="23"/>
      <c r="J24" s="23"/>
      <c r="K24" s="23"/>
      <c r="L24" s="23"/>
      <c r="M24" s="23"/>
      <c r="N24" s="23"/>
      <c r="O24" s="23"/>
      <c r="P24" s="23"/>
    </row>
    <row r="25" spans="2:17">
      <c r="B25" s="23" t="str">
        <f t="shared" si="0"/>
        <v>GSTTNutristasis</v>
      </c>
      <c r="C25" s="23" t="str">
        <f t="shared" si="1"/>
        <v>GSTTReference</v>
      </c>
      <c r="D25" s="23" t="s">
        <v>264</v>
      </c>
      <c r="E25" s="103" t="s">
        <v>178</v>
      </c>
      <c r="F25" s="103" t="s">
        <v>308</v>
      </c>
      <c r="G25" s="230">
        <f t="shared" si="2"/>
        <v>0.49042888139836699</v>
      </c>
      <c r="H25" s="230">
        <f t="shared" si="3"/>
        <v>0.25860127111118558</v>
      </c>
      <c r="I25" s="23"/>
      <c r="J25" s="23"/>
      <c r="K25" s="23"/>
      <c r="L25" s="23"/>
      <c r="M25" s="23"/>
      <c r="N25" s="23"/>
      <c r="O25" s="23"/>
      <c r="P25" s="23"/>
    </row>
    <row r="26" spans="2:17">
      <c r="B26" s="23" t="str">
        <f t="shared" si="0"/>
        <v>GSTTOncology/FiSH</v>
      </c>
      <c r="C26" s="23" t="str">
        <f t="shared" si="1"/>
        <v>GSTTReference</v>
      </c>
      <c r="D26" s="23" t="s">
        <v>264</v>
      </c>
      <c r="E26" s="103" t="s">
        <v>198</v>
      </c>
      <c r="F26" s="103" t="s">
        <v>308</v>
      </c>
      <c r="G26" s="230">
        <f t="shared" si="2"/>
        <v>0.49042888139836699</v>
      </c>
      <c r="H26" s="230">
        <f t="shared" si="3"/>
        <v>0.25860127111118558</v>
      </c>
      <c r="I26" s="23"/>
      <c r="J26" s="23"/>
      <c r="K26" s="23"/>
      <c r="L26" s="23"/>
      <c r="M26" s="23"/>
      <c r="N26" s="23"/>
      <c r="O26" s="23"/>
      <c r="P26" s="23"/>
    </row>
    <row r="27" spans="2:17">
      <c r="B27" s="23" t="str">
        <f t="shared" si="0"/>
        <v>GSTTOral Microbiology</v>
      </c>
      <c r="C27" s="23" t="str">
        <f t="shared" si="1"/>
        <v>GSTTInfection Sciences</v>
      </c>
      <c r="D27" s="23" t="s">
        <v>264</v>
      </c>
      <c r="E27" s="103" t="s">
        <v>162</v>
      </c>
      <c r="F27" s="103" t="s">
        <v>307</v>
      </c>
      <c r="G27" s="230">
        <f t="shared" si="2"/>
        <v>0.63008713834642638</v>
      </c>
      <c r="H27" s="230">
        <f t="shared" si="3"/>
        <v>0.2043771221333493</v>
      </c>
      <c r="I27" s="23"/>
      <c r="J27" s="23"/>
      <c r="K27" s="23"/>
      <c r="L27" s="23"/>
      <c r="M27" s="23"/>
      <c r="N27" s="23"/>
      <c r="O27" s="23"/>
      <c r="P27" s="23"/>
    </row>
    <row r="28" spans="2:17">
      <c r="B28" s="23" t="str">
        <f t="shared" si="0"/>
        <v>GSTTOral Pathology</v>
      </c>
      <c r="C28" s="23" t="str">
        <f t="shared" si="1"/>
        <v>GSTTTissue Sciences</v>
      </c>
      <c r="D28" s="23" t="s">
        <v>264</v>
      </c>
      <c r="E28" s="103" t="s">
        <v>168</v>
      </c>
      <c r="F28" s="103" t="s">
        <v>309</v>
      </c>
      <c r="G28" s="230">
        <f t="shared" si="2"/>
        <v>0.48877208459516414</v>
      </c>
      <c r="H28" s="230">
        <f t="shared" si="3"/>
        <v>0.32618847211403623</v>
      </c>
      <c r="I28" s="23"/>
      <c r="J28" s="23"/>
      <c r="K28" s="23"/>
      <c r="L28" s="23"/>
      <c r="M28" s="23"/>
      <c r="N28" s="23"/>
      <c r="O28" s="23"/>
      <c r="P28" s="23"/>
    </row>
    <row r="29" spans="2:17">
      <c r="B29" s="23" t="str">
        <f t="shared" si="0"/>
        <v>GSTTPCR/MLPA</v>
      </c>
      <c r="C29" s="23" t="str">
        <f t="shared" si="1"/>
        <v>GSTTGenetics</v>
      </c>
      <c r="D29" s="23" t="s">
        <v>264</v>
      </c>
      <c r="E29" s="103" t="s">
        <v>199</v>
      </c>
      <c r="F29" s="103" t="s">
        <v>306</v>
      </c>
      <c r="G29" s="230">
        <f t="shared" si="2"/>
        <v>0.71095632606905634</v>
      </c>
      <c r="H29" s="230">
        <f t="shared" si="3"/>
        <v>0.36452587625418542</v>
      </c>
      <c r="I29" s="23"/>
      <c r="J29" s="23"/>
      <c r="K29" s="23"/>
      <c r="L29" s="23"/>
      <c r="M29" s="23"/>
      <c r="N29" s="23"/>
      <c r="O29" s="23"/>
      <c r="P29" s="23"/>
    </row>
    <row r="30" spans="2:17">
      <c r="B30" s="23" t="str">
        <f t="shared" si="0"/>
        <v>GSTTPGD</v>
      </c>
      <c r="C30" s="23" t="str">
        <f t="shared" si="1"/>
        <v>GSTTReference</v>
      </c>
      <c r="D30" s="23" t="s">
        <v>264</v>
      </c>
      <c r="E30" s="103" t="s">
        <v>200</v>
      </c>
      <c r="F30" s="103" t="s">
        <v>308</v>
      </c>
      <c r="G30" s="230">
        <f t="shared" si="2"/>
        <v>0.49042888139836699</v>
      </c>
      <c r="H30" s="230">
        <f t="shared" si="3"/>
        <v>0.25860127111118558</v>
      </c>
      <c r="I30" s="23"/>
      <c r="J30" s="23"/>
      <c r="K30" s="23"/>
      <c r="L30" s="23"/>
      <c r="M30" s="23"/>
      <c r="N30" s="23"/>
      <c r="O30" s="23"/>
      <c r="P30" s="23"/>
    </row>
    <row r="31" spans="2:17">
      <c r="B31" s="23" t="str">
        <f t="shared" si="0"/>
        <v>GSTTPhlebotomy</v>
      </c>
      <c r="C31" s="23" t="str">
        <f t="shared" si="1"/>
        <v>GSTTBlood Sciences</v>
      </c>
      <c r="D31" s="23" t="s">
        <v>264</v>
      </c>
      <c r="E31" s="103" t="s">
        <v>0</v>
      </c>
      <c r="F31" s="103" t="s">
        <v>268</v>
      </c>
      <c r="G31" s="230">
        <f t="shared" si="2"/>
        <v>0.68462016961206107</v>
      </c>
      <c r="H31" s="230">
        <f t="shared" si="3"/>
        <v>0.13863862001482807</v>
      </c>
      <c r="I31" s="23"/>
      <c r="J31" s="23"/>
      <c r="K31" s="23"/>
      <c r="L31" s="23"/>
      <c r="M31" s="23"/>
      <c r="N31" s="23"/>
      <c r="O31" s="23"/>
      <c r="P31" s="23"/>
    </row>
    <row r="32" spans="2:17">
      <c r="B32" s="23" t="str">
        <f t="shared" si="0"/>
        <v>GSTTPreimplantation</v>
      </c>
      <c r="C32" s="23" t="str">
        <f t="shared" si="1"/>
        <v>GSTTBlood Sciences</v>
      </c>
      <c r="D32" s="23" t="s">
        <v>264</v>
      </c>
      <c r="E32" s="103" t="s">
        <v>195</v>
      </c>
      <c r="F32" s="103" t="s">
        <v>268</v>
      </c>
      <c r="G32" s="230">
        <f t="shared" si="2"/>
        <v>0.68462016961206107</v>
      </c>
      <c r="H32" s="230">
        <f t="shared" si="3"/>
        <v>0.13863862001482807</v>
      </c>
      <c r="I32" s="23"/>
      <c r="J32" s="23"/>
      <c r="K32" s="23"/>
      <c r="L32" s="23"/>
      <c r="M32" s="23"/>
      <c r="N32" s="23"/>
      <c r="O32" s="23"/>
      <c r="P32" s="23"/>
    </row>
    <row r="33" spans="2:16">
      <c r="B33" s="23" t="str">
        <f t="shared" si="0"/>
        <v>GSTTPurines</v>
      </c>
      <c r="C33" s="23" t="str">
        <f t="shared" si="1"/>
        <v>GSTTReference</v>
      </c>
      <c r="D33" s="23" t="s">
        <v>264</v>
      </c>
      <c r="E33" s="103" t="s">
        <v>179</v>
      </c>
      <c r="F33" s="103" t="s">
        <v>308</v>
      </c>
      <c r="G33" s="230">
        <f t="shared" si="2"/>
        <v>0.49042888139836699</v>
      </c>
      <c r="H33" s="230">
        <f t="shared" si="3"/>
        <v>0.25860127111118558</v>
      </c>
      <c r="I33" s="23"/>
      <c r="J33" s="23"/>
      <c r="K33" s="23"/>
      <c r="L33" s="23"/>
      <c r="M33" s="23"/>
      <c r="N33" s="23"/>
      <c r="O33" s="23"/>
      <c r="P33" s="23"/>
    </row>
    <row r="34" spans="2:16">
      <c r="B34" s="23" t="str">
        <f t="shared" si="0"/>
        <v>GSTTRapid Response Laboratories</v>
      </c>
      <c r="C34" s="23" t="str">
        <f t="shared" si="1"/>
        <v>GSTTBlood Sciences</v>
      </c>
      <c r="D34" s="23" t="s">
        <v>264</v>
      </c>
      <c r="E34" s="103" t="s">
        <v>165</v>
      </c>
      <c r="F34" s="103" t="s">
        <v>268</v>
      </c>
      <c r="G34" s="230">
        <f t="shared" si="2"/>
        <v>0.68462016961206107</v>
      </c>
      <c r="H34" s="230">
        <f t="shared" si="3"/>
        <v>0.13863862001482807</v>
      </c>
      <c r="I34" s="23"/>
      <c r="J34" s="23"/>
      <c r="K34" s="23"/>
      <c r="L34" s="23"/>
      <c r="M34" s="23"/>
      <c r="N34" s="23"/>
      <c r="O34" s="23"/>
      <c r="P34" s="23"/>
    </row>
    <row r="35" spans="2:16">
      <c r="B35" s="23" t="str">
        <f t="shared" ref="B35:B66" si="5">+D35&amp;E35</f>
        <v>GSTTReference Chemistry</v>
      </c>
      <c r="C35" s="23" t="str">
        <f t="shared" ref="C35:C66" si="6">D35&amp;F35</f>
        <v>GSTTReference</v>
      </c>
      <c r="D35" s="23" t="s">
        <v>264</v>
      </c>
      <c r="E35" s="103" t="s">
        <v>175</v>
      </c>
      <c r="F35" s="103" t="s">
        <v>308</v>
      </c>
      <c r="G35" s="230">
        <f t="shared" ref="G35:G66" si="7">INDEX($O$3:$O$32,MATCH($C35,$L$3:$L$32,0))</f>
        <v>0.49042888139836699</v>
      </c>
      <c r="H35" s="230">
        <f t="shared" ref="H35:H66" si="8">INDEX($P$3:$P$32,MATCH($C35,$L$3:$L$32,0))</f>
        <v>0.25860127111118558</v>
      </c>
      <c r="I35" s="23"/>
      <c r="J35" s="23"/>
      <c r="K35" s="23"/>
      <c r="L35" s="23"/>
      <c r="M35" s="23"/>
      <c r="N35" s="23"/>
      <c r="O35" s="23"/>
      <c r="P35" s="23"/>
    </row>
    <row r="36" spans="2:16">
      <c r="B36" s="23" t="str">
        <f t="shared" si="5"/>
        <v>GSTTReference Haematology</v>
      </c>
      <c r="C36" s="23" t="str">
        <f t="shared" si="6"/>
        <v>GSTTReference</v>
      </c>
      <c r="D36" s="23" t="s">
        <v>264</v>
      </c>
      <c r="E36" s="103" t="s">
        <v>157</v>
      </c>
      <c r="F36" s="103" t="s">
        <v>308</v>
      </c>
      <c r="G36" s="230">
        <f t="shared" si="7"/>
        <v>0.49042888139836699</v>
      </c>
      <c r="H36" s="230">
        <f t="shared" si="8"/>
        <v>0.25860127111118558</v>
      </c>
      <c r="I36" s="23"/>
      <c r="J36" s="23"/>
      <c r="K36" s="23"/>
      <c r="L36" s="23"/>
      <c r="M36" s="23"/>
      <c r="N36" s="23"/>
      <c r="O36" s="23"/>
      <c r="P36" s="23"/>
    </row>
    <row r="37" spans="2:16">
      <c r="B37" s="23" t="str">
        <f t="shared" si="5"/>
        <v>GSTTSkin Tumour Unit</v>
      </c>
      <c r="C37" s="23" t="str">
        <f t="shared" si="6"/>
        <v>GSTTTissue Sciences</v>
      </c>
      <c r="D37" s="23" t="s">
        <v>264</v>
      </c>
      <c r="E37" s="103" t="s">
        <v>184</v>
      </c>
      <c r="F37" s="103" t="s">
        <v>309</v>
      </c>
      <c r="G37" s="230">
        <f t="shared" si="7"/>
        <v>0.48877208459516414</v>
      </c>
      <c r="H37" s="230">
        <f t="shared" si="8"/>
        <v>0.32618847211403623</v>
      </c>
      <c r="I37" s="23"/>
      <c r="J37" s="23"/>
      <c r="K37" s="23"/>
      <c r="L37" s="23"/>
      <c r="M37" s="23"/>
      <c r="N37" s="23"/>
      <c r="O37" s="23"/>
      <c r="P37" s="23"/>
    </row>
    <row r="38" spans="2:16">
      <c r="B38" s="23" t="str">
        <f t="shared" si="5"/>
        <v>GSTTToxicology</v>
      </c>
      <c r="C38" s="23" t="str">
        <f t="shared" si="6"/>
        <v>GSTTReference</v>
      </c>
      <c r="D38" s="23" t="s">
        <v>264</v>
      </c>
      <c r="E38" s="103" t="s">
        <v>172</v>
      </c>
      <c r="F38" s="103" t="s">
        <v>308</v>
      </c>
      <c r="G38" s="230">
        <f t="shared" si="7"/>
        <v>0.49042888139836699</v>
      </c>
      <c r="H38" s="230">
        <f t="shared" si="8"/>
        <v>0.25860127111118558</v>
      </c>
      <c r="I38" s="23"/>
      <c r="J38" s="23"/>
      <c r="K38" s="23"/>
      <c r="L38" s="23"/>
      <c r="M38" s="23"/>
      <c r="N38" s="23"/>
      <c r="O38" s="23"/>
      <c r="P38" s="23"/>
    </row>
    <row r="39" spans="2:16">
      <c r="B39" s="23" t="str">
        <f t="shared" si="5"/>
        <v>GSTTVirology</v>
      </c>
      <c r="C39" s="23" t="str">
        <f t="shared" si="6"/>
        <v>GSTTInfection Sciences</v>
      </c>
      <c r="D39" s="23" t="s">
        <v>264</v>
      </c>
      <c r="E39" s="103" t="s">
        <v>163</v>
      </c>
      <c r="F39" s="103" t="s">
        <v>307</v>
      </c>
      <c r="G39" s="230">
        <f t="shared" si="7"/>
        <v>0.63008713834642638</v>
      </c>
      <c r="H39" s="230">
        <f t="shared" si="8"/>
        <v>0.2043771221333493</v>
      </c>
      <c r="I39" s="23"/>
      <c r="J39" s="23"/>
      <c r="K39" s="23"/>
      <c r="L39" s="23"/>
      <c r="M39" s="23"/>
      <c r="N39" s="23"/>
      <c r="O39" s="23"/>
      <c r="P39" s="23"/>
    </row>
    <row r="40" spans="2:16">
      <c r="B40" s="23" t="str">
        <f t="shared" si="5"/>
        <v>KCH Denmark HillCore Chemistry</v>
      </c>
      <c r="C40" s="23" t="str">
        <f t="shared" si="6"/>
        <v>KCH Denmark HillBlood Sciences</v>
      </c>
      <c r="D40" s="23" t="s">
        <v>265</v>
      </c>
      <c r="E40" s="103" t="s">
        <v>155</v>
      </c>
      <c r="F40" s="103" t="s">
        <v>268</v>
      </c>
      <c r="G40" s="230">
        <f t="shared" si="7"/>
        <v>0.85694081151743329</v>
      </c>
      <c r="H40" s="230">
        <f t="shared" si="8"/>
        <v>0.43796377598642411</v>
      </c>
      <c r="I40" s="23"/>
      <c r="J40" s="23"/>
      <c r="K40" s="23"/>
      <c r="L40" s="23"/>
      <c r="M40" s="23"/>
      <c r="N40" s="23"/>
      <c r="O40" s="23"/>
      <c r="P40" s="23"/>
    </row>
    <row r="41" spans="2:16">
      <c r="B41" s="23" t="str">
        <f t="shared" si="5"/>
        <v>KCH Denmark HillBlood Transfusion</v>
      </c>
      <c r="C41" s="23" t="str">
        <f t="shared" si="6"/>
        <v>KCH Denmark HillBlood Sciences</v>
      </c>
      <c r="D41" s="23" t="s">
        <v>265</v>
      </c>
      <c r="E41" s="103" t="s">
        <v>158</v>
      </c>
      <c r="F41" s="103" t="s">
        <v>268</v>
      </c>
      <c r="G41" s="230">
        <f t="shared" si="7"/>
        <v>0.85694081151743329</v>
      </c>
      <c r="H41" s="230">
        <f t="shared" si="8"/>
        <v>0.43796377598642411</v>
      </c>
      <c r="I41" s="23"/>
      <c r="J41" s="23"/>
      <c r="K41" s="23"/>
      <c r="L41" s="23"/>
      <c r="M41" s="23"/>
      <c r="N41" s="23"/>
      <c r="O41" s="23"/>
      <c r="P41" s="23"/>
    </row>
    <row r="42" spans="2:16">
      <c r="B42" s="23" t="str">
        <f t="shared" si="5"/>
        <v>KCH Denmark HillClinical trials</v>
      </c>
      <c r="C42" s="23" t="str">
        <f t="shared" si="6"/>
        <v>KCH Denmark HillReference</v>
      </c>
      <c r="D42" s="23" t="s">
        <v>265</v>
      </c>
      <c r="E42" s="103" t="s">
        <v>219</v>
      </c>
      <c r="F42" s="103" t="s">
        <v>308</v>
      </c>
      <c r="G42" s="230">
        <f t="shared" si="7"/>
        <v>0.53220619956670545</v>
      </c>
      <c r="H42" s="230">
        <f t="shared" si="8"/>
        <v>0.35705876520937868</v>
      </c>
      <c r="I42" s="23"/>
      <c r="J42" s="23"/>
      <c r="K42" s="23"/>
      <c r="L42" s="23"/>
      <c r="M42" s="23"/>
      <c r="N42" s="23"/>
      <c r="O42" s="23"/>
      <c r="P42" s="23"/>
    </row>
    <row r="43" spans="2:16">
      <c r="B43" s="23" t="str">
        <f t="shared" si="5"/>
        <v>KCH Denmark HillCore Haematology</v>
      </c>
      <c r="C43" s="23" t="str">
        <f t="shared" si="6"/>
        <v>KCH Denmark HillBlood Sciences</v>
      </c>
      <c r="D43" s="23" t="s">
        <v>265</v>
      </c>
      <c r="E43" s="103" t="s">
        <v>156</v>
      </c>
      <c r="F43" s="103" t="s">
        <v>268</v>
      </c>
      <c r="G43" s="230">
        <f t="shared" si="7"/>
        <v>0.85694081151743329</v>
      </c>
      <c r="H43" s="230">
        <f t="shared" si="8"/>
        <v>0.43796377598642411</v>
      </c>
      <c r="I43" s="23"/>
      <c r="J43" s="23"/>
      <c r="K43" s="23"/>
      <c r="L43" s="23"/>
      <c r="M43" s="23"/>
      <c r="N43" s="23"/>
      <c r="O43" s="23"/>
      <c r="P43" s="23"/>
    </row>
    <row r="44" spans="2:16">
      <c r="B44" s="23" t="str">
        <f t="shared" si="5"/>
        <v>KCH Denmark HillCytogenetics</v>
      </c>
      <c r="C44" s="23" t="str">
        <f t="shared" si="6"/>
        <v>KCH Denmark HillReference</v>
      </c>
      <c r="D44" s="23" t="s">
        <v>265</v>
      </c>
      <c r="E44" s="103" t="s">
        <v>170</v>
      </c>
      <c r="F44" s="103" t="s">
        <v>308</v>
      </c>
      <c r="G44" s="230">
        <f t="shared" si="7"/>
        <v>0.53220619956670545</v>
      </c>
      <c r="H44" s="230">
        <f t="shared" si="8"/>
        <v>0.35705876520937868</v>
      </c>
      <c r="I44" s="23"/>
      <c r="J44" s="23"/>
      <c r="K44" s="23"/>
      <c r="L44" s="23"/>
      <c r="M44" s="23"/>
      <c r="N44" s="23"/>
      <c r="O44" s="23"/>
      <c r="P44" s="23"/>
    </row>
    <row r="45" spans="2:16">
      <c r="B45" s="23" t="str">
        <f t="shared" si="5"/>
        <v>KCH Denmark HillCytology</v>
      </c>
      <c r="C45" s="23" t="str">
        <f t="shared" si="6"/>
        <v>KCH Denmark HillTissue Sciences</v>
      </c>
      <c r="D45" s="23" t="s">
        <v>265</v>
      </c>
      <c r="E45" s="103" t="s">
        <v>159</v>
      </c>
      <c r="F45" s="103" t="s">
        <v>309</v>
      </c>
      <c r="G45" s="230">
        <f t="shared" si="7"/>
        <v>0.48877208459516414</v>
      </c>
      <c r="H45" s="230">
        <f t="shared" si="8"/>
        <v>0.60504874714690648</v>
      </c>
      <c r="I45" s="23"/>
      <c r="J45" s="23"/>
      <c r="K45" s="23"/>
      <c r="L45" s="23"/>
      <c r="M45" s="23"/>
      <c r="N45" s="23"/>
      <c r="O45" s="23"/>
      <c r="P45" s="23"/>
    </row>
    <row r="46" spans="2:16">
      <c r="B46" s="23" t="str">
        <f t="shared" si="5"/>
        <v>KCH Denmark HillHistopathology</v>
      </c>
      <c r="C46" s="23" t="str">
        <f t="shared" si="6"/>
        <v>KCH Denmark HillTissue Sciences</v>
      </c>
      <c r="D46" s="23" t="s">
        <v>265</v>
      </c>
      <c r="E46" s="103" t="s">
        <v>160</v>
      </c>
      <c r="F46" s="103" t="s">
        <v>309</v>
      </c>
      <c r="G46" s="230">
        <f t="shared" si="7"/>
        <v>0.48877208459516414</v>
      </c>
      <c r="H46" s="230">
        <f t="shared" si="8"/>
        <v>0.60504874714690648</v>
      </c>
      <c r="I46" s="23"/>
      <c r="J46" s="23"/>
      <c r="K46" s="23"/>
      <c r="L46" s="23"/>
      <c r="M46" s="23"/>
      <c r="N46" s="23"/>
      <c r="O46" s="23"/>
      <c r="P46" s="23"/>
    </row>
    <row r="47" spans="2:16">
      <c r="B47" s="23" t="str">
        <f t="shared" si="5"/>
        <v>KCH Denmark HillImmunology</v>
      </c>
      <c r="C47" s="23" t="str">
        <f t="shared" si="6"/>
        <v>KCH Denmark HillReference</v>
      </c>
      <c r="D47" s="23" t="s">
        <v>265</v>
      </c>
      <c r="E47" s="103" t="s">
        <v>164</v>
      </c>
      <c r="F47" s="103" t="s">
        <v>308</v>
      </c>
      <c r="G47" s="230">
        <f t="shared" si="7"/>
        <v>0.53220619956670545</v>
      </c>
      <c r="H47" s="230">
        <f t="shared" si="8"/>
        <v>0.35705876520937868</v>
      </c>
      <c r="I47" s="23"/>
      <c r="J47" s="23"/>
      <c r="K47" s="23"/>
      <c r="L47" s="23"/>
      <c r="M47" s="23"/>
      <c r="N47" s="23"/>
      <c r="O47" s="23"/>
      <c r="P47" s="23"/>
    </row>
    <row r="48" spans="2:16">
      <c r="B48" s="23" t="str">
        <f t="shared" si="5"/>
        <v>KCH Denmark HillMicrobiology</v>
      </c>
      <c r="C48" s="23" t="str">
        <f t="shared" si="6"/>
        <v>KCH Denmark HillInfection Sciences</v>
      </c>
      <c r="D48" s="23" t="s">
        <v>265</v>
      </c>
      <c r="E48" s="103" t="s">
        <v>161</v>
      </c>
      <c r="F48" s="103" t="s">
        <v>307</v>
      </c>
      <c r="G48" s="230">
        <f t="shared" si="7"/>
        <v>0.53070904216414994</v>
      </c>
      <c r="H48" s="230">
        <f t="shared" si="8"/>
        <v>0.31985830471839194</v>
      </c>
      <c r="I48" s="23"/>
      <c r="J48" s="23"/>
      <c r="K48" s="23"/>
      <c r="L48" s="23"/>
      <c r="M48" s="23"/>
      <c r="N48" s="23"/>
      <c r="O48" s="23"/>
      <c r="P48" s="23"/>
    </row>
    <row r="49" spans="2:16">
      <c r="B49" s="23" t="str">
        <f t="shared" si="5"/>
        <v>KCH Denmark HillMolecular</v>
      </c>
      <c r="C49" s="23" t="str">
        <f t="shared" si="6"/>
        <v>KCH Denmark HillReference</v>
      </c>
      <c r="D49" s="23" t="s">
        <v>265</v>
      </c>
      <c r="E49" s="103" t="s">
        <v>166</v>
      </c>
      <c r="F49" s="103" t="s">
        <v>308</v>
      </c>
      <c r="G49" s="230">
        <f t="shared" si="7"/>
        <v>0.53220619956670545</v>
      </c>
      <c r="H49" s="230">
        <f t="shared" si="8"/>
        <v>0.35705876520937868</v>
      </c>
      <c r="I49" s="23"/>
      <c r="J49" s="23"/>
      <c r="K49" s="23"/>
      <c r="L49" s="23"/>
      <c r="M49" s="23"/>
      <c r="N49" s="23"/>
      <c r="O49" s="23"/>
      <c r="P49" s="23"/>
    </row>
    <row r="50" spans="2:16">
      <c r="B50" s="23" t="str">
        <f t="shared" si="5"/>
        <v>KCH Denmark HillPhlebotomy</v>
      </c>
      <c r="C50" s="23" t="str">
        <f t="shared" si="6"/>
        <v>KCH Denmark HillBlood Sciences</v>
      </c>
      <c r="D50" s="23" t="s">
        <v>265</v>
      </c>
      <c r="E50" s="103" t="s">
        <v>0</v>
      </c>
      <c r="F50" s="103" t="s">
        <v>268</v>
      </c>
      <c r="G50" s="230">
        <f t="shared" si="7"/>
        <v>0.85694081151743329</v>
      </c>
      <c r="H50" s="230">
        <f t="shared" si="8"/>
        <v>0.43796377598642411</v>
      </c>
      <c r="I50" s="23"/>
      <c r="J50" s="23"/>
      <c r="K50" s="23"/>
      <c r="L50" s="23"/>
      <c r="M50" s="23"/>
      <c r="N50" s="23"/>
      <c r="O50" s="23"/>
      <c r="P50" s="23"/>
    </row>
    <row r="51" spans="2:16">
      <c r="B51" s="23" t="str">
        <f t="shared" si="5"/>
        <v>KCH Denmark HillReference Chemistry</v>
      </c>
      <c r="C51" s="23" t="str">
        <f t="shared" si="6"/>
        <v>KCH Denmark HillReference</v>
      </c>
      <c r="D51" s="23" t="s">
        <v>265</v>
      </c>
      <c r="E51" s="103" t="s">
        <v>175</v>
      </c>
      <c r="F51" s="103" t="s">
        <v>308</v>
      </c>
      <c r="G51" s="230">
        <f t="shared" si="7"/>
        <v>0.53220619956670545</v>
      </c>
      <c r="H51" s="230">
        <f t="shared" si="8"/>
        <v>0.35705876520937868</v>
      </c>
      <c r="I51" s="23"/>
      <c r="J51" s="23"/>
      <c r="K51" s="23"/>
      <c r="L51" s="23"/>
      <c r="M51" s="23"/>
      <c r="N51" s="23"/>
      <c r="O51" s="23"/>
      <c r="P51" s="23"/>
    </row>
    <row r="52" spans="2:16">
      <c r="B52" s="23" t="str">
        <f t="shared" si="5"/>
        <v>KCH Denmark HillReference Haematology</v>
      </c>
      <c r="C52" s="23" t="str">
        <f t="shared" si="6"/>
        <v>KCH Denmark HillReference</v>
      </c>
      <c r="D52" s="23" t="s">
        <v>265</v>
      </c>
      <c r="E52" s="103" t="s">
        <v>157</v>
      </c>
      <c r="F52" s="103" t="s">
        <v>308</v>
      </c>
      <c r="G52" s="230">
        <f t="shared" si="7"/>
        <v>0.53220619956670545</v>
      </c>
      <c r="H52" s="230">
        <f t="shared" si="8"/>
        <v>0.35705876520937868</v>
      </c>
      <c r="I52" s="23"/>
      <c r="J52" s="23"/>
      <c r="K52" s="23"/>
      <c r="L52" s="23"/>
      <c r="M52" s="23"/>
      <c r="N52" s="23"/>
      <c r="O52" s="23"/>
      <c r="P52" s="23"/>
    </row>
    <row r="53" spans="2:16">
      <c r="B53" s="23" t="str">
        <f t="shared" si="5"/>
        <v>KCH Denmark HillToxicology</v>
      </c>
      <c r="C53" s="23" t="str">
        <f t="shared" si="6"/>
        <v>KCH Denmark HillReference</v>
      </c>
      <c r="D53" s="23" t="s">
        <v>265</v>
      </c>
      <c r="E53" s="103" t="s">
        <v>172</v>
      </c>
      <c r="F53" s="103" t="s">
        <v>308</v>
      </c>
      <c r="G53" s="230">
        <f t="shared" si="7"/>
        <v>0.53220619956670545</v>
      </c>
      <c r="H53" s="230">
        <f t="shared" si="8"/>
        <v>0.35705876520937868</v>
      </c>
      <c r="I53" s="23"/>
      <c r="J53" s="23"/>
      <c r="K53" s="23"/>
      <c r="L53" s="23"/>
      <c r="M53" s="23"/>
      <c r="N53" s="23"/>
      <c r="O53" s="23"/>
      <c r="P53" s="23"/>
    </row>
    <row r="54" spans="2:16">
      <c r="B54" s="23" t="str">
        <f t="shared" si="5"/>
        <v>KCH Denmark HillVirology</v>
      </c>
      <c r="C54" s="23" t="str">
        <f t="shared" si="6"/>
        <v>KCH Denmark HillInfection Sciences</v>
      </c>
      <c r="D54" s="23" t="s">
        <v>265</v>
      </c>
      <c r="E54" s="103" t="s">
        <v>163</v>
      </c>
      <c r="F54" s="103" t="s">
        <v>307</v>
      </c>
      <c r="G54" s="230">
        <f t="shared" si="7"/>
        <v>0.53070904216414994</v>
      </c>
      <c r="H54" s="230">
        <f t="shared" si="8"/>
        <v>0.31985830471839194</v>
      </c>
      <c r="I54" s="23"/>
      <c r="J54" s="23"/>
      <c r="K54" s="23"/>
      <c r="L54" s="23"/>
      <c r="M54" s="23"/>
      <c r="N54" s="23"/>
      <c r="O54" s="23"/>
      <c r="P54" s="23"/>
    </row>
    <row r="55" spans="2:16">
      <c r="B55" s="23" t="str">
        <f t="shared" si="5"/>
        <v>KCH PRUHBacteriology</v>
      </c>
      <c r="C55" s="23" t="str">
        <f t="shared" si="6"/>
        <v>KCH PRUHInfection Sciences</v>
      </c>
      <c r="D55" s="23" t="s">
        <v>266</v>
      </c>
      <c r="E55" s="103" t="s">
        <v>267</v>
      </c>
      <c r="F55" s="103" t="s">
        <v>307</v>
      </c>
      <c r="G55" s="230">
        <f t="shared" si="7"/>
        <v>0.53070904216414994</v>
      </c>
      <c r="H55" s="230">
        <f t="shared" si="8"/>
        <v>0.31985830471839194</v>
      </c>
      <c r="I55" s="23"/>
      <c r="J55" s="23"/>
      <c r="K55" s="23"/>
      <c r="L55" s="23"/>
      <c r="M55" s="23"/>
      <c r="N55" s="23"/>
      <c r="O55" s="23"/>
      <c r="P55" s="23"/>
    </row>
    <row r="56" spans="2:16">
      <c r="B56" s="23" t="str">
        <f t="shared" si="5"/>
        <v>KCH PRUHBlood Sciences</v>
      </c>
      <c r="C56" s="23" t="str">
        <f t="shared" si="6"/>
        <v>KCH PRUHBlood Sciences</v>
      </c>
      <c r="D56" s="23" t="s">
        <v>266</v>
      </c>
      <c r="E56" s="103" t="s">
        <v>268</v>
      </c>
      <c r="F56" s="103" t="s">
        <v>268</v>
      </c>
      <c r="G56" s="230">
        <f t="shared" si="7"/>
        <v>0.85694081151743329</v>
      </c>
      <c r="H56" s="230">
        <f t="shared" si="8"/>
        <v>0.43796377598642411</v>
      </c>
      <c r="I56" s="23"/>
      <c r="J56" s="23"/>
      <c r="K56" s="23"/>
      <c r="L56" s="23"/>
      <c r="M56" s="23"/>
      <c r="N56" s="23"/>
      <c r="O56" s="23"/>
      <c r="P56" s="23"/>
    </row>
    <row r="57" spans="2:16">
      <c r="B57" s="23" t="str">
        <f t="shared" si="5"/>
        <v>KCH PRUHHistopathology</v>
      </c>
      <c r="C57" s="23" t="str">
        <f t="shared" si="6"/>
        <v>KCH PRUHTissue Sciences</v>
      </c>
      <c r="D57" s="23" t="s">
        <v>266</v>
      </c>
      <c r="E57" s="103" t="s">
        <v>160</v>
      </c>
      <c r="F57" s="103" t="s">
        <v>309</v>
      </c>
      <c r="G57" s="230">
        <f t="shared" si="7"/>
        <v>0.48877208459516414</v>
      </c>
      <c r="H57" s="230">
        <f t="shared" si="8"/>
        <v>0.60504874714690648</v>
      </c>
      <c r="I57" s="23"/>
      <c r="J57" s="23"/>
      <c r="K57" s="23"/>
      <c r="L57" s="23"/>
      <c r="M57" s="23"/>
      <c r="N57" s="23"/>
      <c r="O57" s="23"/>
      <c r="P57" s="23"/>
    </row>
    <row r="58" spans="2:16">
      <c r="B58" s="23" t="str">
        <f t="shared" si="5"/>
        <v>KCH PRUHImmunology</v>
      </c>
      <c r="C58" s="23" t="str">
        <f t="shared" si="6"/>
        <v>KCH PRUHInfection Sciences</v>
      </c>
      <c r="D58" s="23" t="s">
        <v>266</v>
      </c>
      <c r="E58" s="103" t="s">
        <v>164</v>
      </c>
      <c r="F58" s="103" t="s">
        <v>307</v>
      </c>
      <c r="G58" s="230">
        <f t="shared" si="7"/>
        <v>0.53070904216414994</v>
      </c>
      <c r="H58" s="230">
        <f t="shared" si="8"/>
        <v>0.31985830471839194</v>
      </c>
      <c r="I58" s="23"/>
      <c r="J58" s="23"/>
      <c r="K58" s="23"/>
      <c r="L58" s="23"/>
      <c r="M58" s="23"/>
      <c r="N58" s="23"/>
      <c r="O58" s="23"/>
      <c r="P58" s="23"/>
    </row>
    <row r="59" spans="2:16">
      <c r="B59" s="23" t="str">
        <f t="shared" si="5"/>
        <v>KCH PRUHVirology</v>
      </c>
      <c r="C59" s="23" t="str">
        <f t="shared" si="6"/>
        <v>KCH PRUHInfection Sciences</v>
      </c>
      <c r="D59" s="23" t="s">
        <v>266</v>
      </c>
      <c r="E59" s="103" t="s">
        <v>163</v>
      </c>
      <c r="F59" s="103" t="s">
        <v>307</v>
      </c>
      <c r="G59" s="230">
        <f t="shared" si="7"/>
        <v>0.53070904216414994</v>
      </c>
      <c r="H59" s="230">
        <f t="shared" si="8"/>
        <v>0.31985830471839194</v>
      </c>
      <c r="I59" s="23"/>
      <c r="J59" s="23"/>
      <c r="K59" s="23"/>
      <c r="L59" s="23"/>
      <c r="M59" s="23"/>
      <c r="N59" s="23"/>
      <c r="O59" s="23"/>
      <c r="P59" s="23"/>
    </row>
    <row r="60" spans="2:16">
      <c r="B60" s="23" t="str">
        <f t="shared" si="5"/>
        <v>BedfordChemistry</v>
      </c>
      <c r="C60" s="23" t="str">
        <f t="shared" si="6"/>
        <v>BedfordBlood Sciences</v>
      </c>
      <c r="D60" s="23" t="s">
        <v>232</v>
      </c>
      <c r="E60" s="23" t="s">
        <v>236</v>
      </c>
      <c r="F60" s="103" t="s">
        <v>268</v>
      </c>
      <c r="G60" s="230">
        <f t="shared" si="7"/>
        <v>0.85694081151743329</v>
      </c>
      <c r="H60" s="230">
        <f t="shared" si="8"/>
        <v>0.43796377598642411</v>
      </c>
      <c r="I60" s="23"/>
      <c r="J60" s="23"/>
      <c r="K60" s="23"/>
      <c r="L60" s="23"/>
      <c r="M60" s="23"/>
      <c r="N60" s="23"/>
      <c r="O60" s="23"/>
      <c r="P60" s="23"/>
    </row>
    <row r="61" spans="2:16">
      <c r="B61" s="23" t="str">
        <f t="shared" si="5"/>
        <v>BedfordAdmin &amp; Clerical</v>
      </c>
      <c r="C61" s="23" t="str">
        <f t="shared" si="6"/>
        <v>BedfordBlood Sciences</v>
      </c>
      <c r="D61" s="23" t="s">
        <v>232</v>
      </c>
      <c r="E61" s="23" t="s">
        <v>238</v>
      </c>
      <c r="F61" s="103" t="s">
        <v>268</v>
      </c>
      <c r="G61" s="230">
        <f t="shared" si="7"/>
        <v>0.85694081151743329</v>
      </c>
      <c r="H61" s="230">
        <f t="shared" si="8"/>
        <v>0.43796377598642411</v>
      </c>
      <c r="I61" s="23"/>
      <c r="J61" s="23"/>
      <c r="K61" s="23"/>
      <c r="L61" s="23"/>
      <c r="M61" s="23"/>
      <c r="N61" s="23"/>
      <c r="O61" s="23"/>
      <c r="P61" s="23"/>
    </row>
    <row r="62" spans="2:16">
      <c r="B62" s="23" t="str">
        <f t="shared" si="5"/>
        <v>BedfordCentral Specimen Reception</v>
      </c>
      <c r="C62" s="23" t="str">
        <f t="shared" si="6"/>
        <v>BedfordBlood Sciences</v>
      </c>
      <c r="D62" s="23" t="s">
        <v>232</v>
      </c>
      <c r="E62" s="23" t="s">
        <v>47</v>
      </c>
      <c r="F62" s="103" t="s">
        <v>268</v>
      </c>
      <c r="G62" s="230">
        <f t="shared" si="7"/>
        <v>0.85694081151743329</v>
      </c>
      <c r="H62" s="230">
        <f t="shared" si="8"/>
        <v>0.43796377598642411</v>
      </c>
      <c r="I62" s="23"/>
      <c r="J62" s="23"/>
      <c r="K62" s="23"/>
      <c r="L62" s="23"/>
      <c r="M62" s="23"/>
      <c r="N62" s="23"/>
      <c r="O62" s="23"/>
      <c r="P62" s="23"/>
    </row>
    <row r="63" spans="2:16">
      <c r="B63" s="23" t="str">
        <f t="shared" si="5"/>
        <v>BedfordCytology</v>
      </c>
      <c r="C63" s="23" t="str">
        <f t="shared" si="6"/>
        <v>BedfordTissue Sciences</v>
      </c>
      <c r="D63" s="23" t="s">
        <v>232</v>
      </c>
      <c r="E63" s="23" t="s">
        <v>159</v>
      </c>
      <c r="F63" s="103" t="s">
        <v>309</v>
      </c>
      <c r="G63" s="230">
        <f t="shared" si="7"/>
        <v>0.48877208459516414</v>
      </c>
      <c r="H63" s="230">
        <f t="shared" si="8"/>
        <v>0.60504874714690648</v>
      </c>
      <c r="I63" s="23"/>
      <c r="J63" s="23"/>
      <c r="K63" s="23"/>
      <c r="L63" s="23"/>
      <c r="M63" s="23"/>
      <c r="N63" s="23"/>
      <c r="O63" s="23"/>
      <c r="P63" s="23"/>
    </row>
    <row r="64" spans="2:16">
      <c r="B64" s="23" t="str">
        <f t="shared" si="5"/>
        <v>BedfordHaematology</v>
      </c>
      <c r="C64" s="23" t="str">
        <f t="shared" si="6"/>
        <v>BedfordBlood Sciences</v>
      </c>
      <c r="D64" s="23" t="s">
        <v>232</v>
      </c>
      <c r="E64" s="23" t="s">
        <v>237</v>
      </c>
      <c r="F64" s="103" t="s">
        <v>268</v>
      </c>
      <c r="G64" s="230">
        <f t="shared" si="7"/>
        <v>0.85694081151743329</v>
      </c>
      <c r="H64" s="230">
        <f t="shared" si="8"/>
        <v>0.43796377598642411</v>
      </c>
      <c r="I64" s="23"/>
      <c r="J64" s="23"/>
      <c r="K64" s="23"/>
      <c r="L64" s="23"/>
      <c r="M64" s="23"/>
      <c r="N64" s="23"/>
      <c r="O64" s="23"/>
      <c r="P64" s="23"/>
    </row>
    <row r="65" spans="2:16">
      <c r="B65" s="23" t="str">
        <f t="shared" si="5"/>
        <v>BedfordHistopathology</v>
      </c>
      <c r="C65" s="23" t="str">
        <f t="shared" si="6"/>
        <v>BedfordTissue Sciences</v>
      </c>
      <c r="D65" s="23" t="s">
        <v>232</v>
      </c>
      <c r="E65" s="23" t="s">
        <v>160</v>
      </c>
      <c r="F65" s="103" t="s">
        <v>309</v>
      </c>
      <c r="G65" s="230">
        <f t="shared" si="7"/>
        <v>0.48877208459516414</v>
      </c>
      <c r="H65" s="230">
        <f t="shared" si="8"/>
        <v>0.60504874714690648</v>
      </c>
      <c r="I65" s="23"/>
      <c r="J65" s="23"/>
      <c r="K65" s="23"/>
      <c r="L65" s="23"/>
      <c r="M65" s="23"/>
      <c r="N65" s="23"/>
      <c r="O65" s="23"/>
      <c r="P65" s="23"/>
    </row>
    <row r="66" spans="2:16">
      <c r="B66" s="23" t="str">
        <f t="shared" si="5"/>
        <v>BedfordMicrobiology</v>
      </c>
      <c r="C66" s="23" t="str">
        <f t="shared" si="6"/>
        <v>BedfordInfection Sciences</v>
      </c>
      <c r="D66" s="23" t="s">
        <v>232</v>
      </c>
      <c r="E66" s="23" t="s">
        <v>161</v>
      </c>
      <c r="F66" s="103" t="s">
        <v>307</v>
      </c>
      <c r="G66" s="230">
        <f t="shared" si="7"/>
        <v>0.53070904216414994</v>
      </c>
      <c r="H66" s="230">
        <f t="shared" si="8"/>
        <v>0.31985830471839194</v>
      </c>
      <c r="I66" s="23"/>
      <c r="J66" s="23"/>
      <c r="K66" s="23"/>
      <c r="L66" s="23"/>
      <c r="M66" s="23"/>
      <c r="N66" s="23"/>
      <c r="O66" s="23"/>
      <c r="P66" s="23"/>
    </row>
  </sheetData>
  <autoFilter ref="B2:H66" xr:uid="{00000000-0009-0000-0000-000006000000}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rgb="FFFF0000"/>
    <pageSetUpPr fitToPage="1"/>
  </sheetPr>
  <dimension ref="B1:O41"/>
  <sheetViews>
    <sheetView showGridLines="0" topLeftCell="A15" zoomScale="85" zoomScaleNormal="85" workbookViewId="0">
      <selection activeCell="A45" sqref="A45:Q109"/>
    </sheetView>
  </sheetViews>
  <sheetFormatPr defaultColWidth="9.1796875" defaultRowHeight="12.5"/>
  <cols>
    <col min="1" max="1" width="36.81640625" style="23" bestFit="1" customWidth="1"/>
    <col min="2" max="2" width="2.54296875" style="23" customWidth="1"/>
    <col min="3" max="3" width="20.1796875" style="23" customWidth="1"/>
    <col min="4" max="4" width="26.453125" style="23" bestFit="1" customWidth="1"/>
    <col min="5" max="5" width="23.81640625" style="23" bestFit="1" customWidth="1"/>
    <col min="6" max="6" width="12.81640625" style="23" customWidth="1"/>
    <col min="7" max="7" width="18.54296875" style="23" customWidth="1"/>
    <col min="8" max="8" width="27.453125" style="23" bestFit="1" customWidth="1"/>
    <col min="9" max="9" width="26.453125" style="23" bestFit="1" customWidth="1"/>
    <col min="10" max="10" width="21.1796875" style="23" bestFit="1" customWidth="1"/>
    <col min="11" max="11" width="18.453125" style="23" customWidth="1"/>
    <col min="12" max="12" width="25.1796875" style="23" bestFit="1" customWidth="1"/>
    <col min="13" max="13" width="16.54296875" style="23" customWidth="1"/>
    <col min="14" max="14" width="18.1796875" style="23" customWidth="1"/>
    <col min="15" max="17" width="15.54296875" style="23" customWidth="1"/>
    <col min="18" max="16384" width="9.1796875" style="23"/>
  </cols>
  <sheetData>
    <row r="1" spans="2:15" ht="23">
      <c r="B1" s="37" t="s">
        <v>230</v>
      </c>
    </row>
    <row r="3" spans="2:15" ht="13">
      <c r="I3" s="591" t="s">
        <v>57</v>
      </c>
      <c r="J3" s="591"/>
      <c r="K3" s="591"/>
      <c r="L3" s="591"/>
    </row>
    <row r="4" spans="2:15" ht="39.5" thickBot="1">
      <c r="C4" s="157" t="s">
        <v>33</v>
      </c>
      <c r="D4" s="157" t="s">
        <v>234</v>
      </c>
      <c r="E4" s="157" t="s">
        <v>235</v>
      </c>
      <c r="F4" s="157" t="s">
        <v>233</v>
      </c>
      <c r="G4" s="157" t="s">
        <v>231</v>
      </c>
      <c r="H4" s="157" t="s">
        <v>220</v>
      </c>
      <c r="I4" s="163" t="s">
        <v>264</v>
      </c>
      <c r="J4" s="163" t="s">
        <v>265</v>
      </c>
      <c r="K4" s="163" t="s">
        <v>266</v>
      </c>
      <c r="L4" s="164" t="s">
        <v>232</v>
      </c>
      <c r="M4" s="162" t="s">
        <v>56</v>
      </c>
      <c r="N4" s="162" t="s">
        <v>120</v>
      </c>
      <c r="O4" s="162" t="s">
        <v>240</v>
      </c>
    </row>
    <row r="5" spans="2:15" ht="13" thickTop="1">
      <c r="C5" s="103" t="s">
        <v>263</v>
      </c>
      <c r="D5" s="103" t="s">
        <v>263</v>
      </c>
      <c r="E5" s="103" t="s">
        <v>263</v>
      </c>
      <c r="F5" s="103" t="s">
        <v>263</v>
      </c>
      <c r="G5" s="23" t="s">
        <v>34</v>
      </c>
      <c r="H5" s="103" t="s">
        <v>263</v>
      </c>
      <c r="I5" s="103" t="s">
        <v>155</v>
      </c>
      <c r="J5" s="103" t="s">
        <v>155</v>
      </c>
      <c r="K5" s="103" t="s">
        <v>267</v>
      </c>
      <c r="L5" s="103" t="s">
        <v>236</v>
      </c>
      <c r="M5" s="23">
        <v>1</v>
      </c>
      <c r="N5" s="23" t="s">
        <v>26</v>
      </c>
      <c r="O5" s="23" t="s">
        <v>201</v>
      </c>
    </row>
    <row r="6" spans="2:15">
      <c r="C6" s="23" t="s">
        <v>30</v>
      </c>
      <c r="D6" s="23" t="s">
        <v>28</v>
      </c>
      <c r="E6" s="23" t="s">
        <v>51</v>
      </c>
      <c r="F6" s="23" t="s">
        <v>60</v>
      </c>
      <c r="G6" s="23" t="s">
        <v>35</v>
      </c>
      <c r="H6" s="103" t="s">
        <v>264</v>
      </c>
      <c r="I6" s="103" t="s">
        <v>196</v>
      </c>
      <c r="J6" s="103" t="s">
        <v>158</v>
      </c>
      <c r="K6" s="103" t="s">
        <v>268</v>
      </c>
      <c r="L6" s="103" t="s">
        <v>238</v>
      </c>
      <c r="M6" s="23">
        <v>2</v>
      </c>
      <c r="N6" s="23" t="s">
        <v>27</v>
      </c>
      <c r="O6" s="23" t="s">
        <v>202</v>
      </c>
    </row>
    <row r="7" spans="2:15">
      <c r="C7" s="23" t="s">
        <v>31</v>
      </c>
      <c r="D7" s="23" t="s">
        <v>29</v>
      </c>
      <c r="E7" s="23" t="s">
        <v>52</v>
      </c>
      <c r="F7" s="23" t="s">
        <v>61</v>
      </c>
      <c r="G7" s="23" t="s">
        <v>36</v>
      </c>
      <c r="H7" s="103" t="s">
        <v>265</v>
      </c>
      <c r="I7" s="103" t="s">
        <v>171</v>
      </c>
      <c r="J7" s="103" t="s">
        <v>219</v>
      </c>
      <c r="K7" s="103" t="s">
        <v>160</v>
      </c>
      <c r="L7" s="103" t="s">
        <v>47</v>
      </c>
      <c r="M7" s="23">
        <v>3</v>
      </c>
    </row>
    <row r="8" spans="2:15">
      <c r="E8" s="103" t="s">
        <v>270</v>
      </c>
      <c r="G8" s="23" t="s">
        <v>37</v>
      </c>
      <c r="H8" s="103" t="s">
        <v>266</v>
      </c>
      <c r="I8" s="103" t="s">
        <v>158</v>
      </c>
      <c r="J8" s="103" t="s">
        <v>156</v>
      </c>
      <c r="K8" s="103" t="s">
        <v>164</v>
      </c>
      <c r="L8" s="103" t="s">
        <v>159</v>
      </c>
      <c r="M8" s="23">
        <v>5</v>
      </c>
    </row>
    <row r="9" spans="2:15">
      <c r="E9" s="23" t="s">
        <v>53</v>
      </c>
      <c r="G9" s="23" t="s">
        <v>38</v>
      </c>
      <c r="H9" s="23" t="s">
        <v>232</v>
      </c>
      <c r="I9" s="103" t="s">
        <v>167</v>
      </c>
      <c r="J9" s="103" t="s">
        <v>170</v>
      </c>
      <c r="K9" s="103" t="s">
        <v>163</v>
      </c>
      <c r="L9" s="103" t="s">
        <v>237</v>
      </c>
      <c r="M9" s="23">
        <v>7</v>
      </c>
    </row>
    <row r="10" spans="2:15">
      <c r="E10" s="103" t="s">
        <v>271</v>
      </c>
      <c r="G10" s="23" t="s">
        <v>39</v>
      </c>
      <c r="I10" s="103" t="s">
        <v>197</v>
      </c>
      <c r="J10" s="103" t="s">
        <v>159</v>
      </c>
      <c r="K10" s="103"/>
      <c r="L10" s="103" t="s">
        <v>160</v>
      </c>
      <c r="M10" s="23">
        <v>10</v>
      </c>
    </row>
    <row r="11" spans="2:15">
      <c r="G11" s="23" t="s">
        <v>32</v>
      </c>
      <c r="I11" s="103" t="s">
        <v>156</v>
      </c>
      <c r="J11" s="103" t="s">
        <v>160</v>
      </c>
      <c r="K11" s="103"/>
      <c r="L11" s="103" t="s">
        <v>161</v>
      </c>
    </row>
    <row r="12" spans="2:15">
      <c r="G12" s="23" t="s">
        <v>40</v>
      </c>
      <c r="I12" s="103" t="s">
        <v>170</v>
      </c>
      <c r="J12" s="103" t="s">
        <v>164</v>
      </c>
      <c r="K12" s="103"/>
      <c r="L12" s="103"/>
    </row>
    <row r="13" spans="2:15">
      <c r="G13" s="23" t="s">
        <v>41</v>
      </c>
      <c r="I13" s="103" t="s">
        <v>159</v>
      </c>
      <c r="J13" s="103" t="s">
        <v>161</v>
      </c>
      <c r="K13" s="103"/>
      <c r="L13" s="103"/>
    </row>
    <row r="14" spans="2:15">
      <c r="I14" s="103" t="s">
        <v>180</v>
      </c>
      <c r="J14" s="103" t="s">
        <v>166</v>
      </c>
      <c r="K14" s="103"/>
      <c r="L14" s="103"/>
    </row>
    <row r="15" spans="2:15">
      <c r="I15" s="103" t="s">
        <v>174</v>
      </c>
      <c r="J15" s="103" t="s">
        <v>0</v>
      </c>
      <c r="K15" s="103"/>
      <c r="L15" s="103"/>
    </row>
    <row r="16" spans="2:15">
      <c r="I16" s="103" t="s">
        <v>169</v>
      </c>
      <c r="J16" s="103" t="s">
        <v>175</v>
      </c>
      <c r="K16" s="103"/>
      <c r="L16" s="103"/>
    </row>
    <row r="17" spans="9:12">
      <c r="I17" s="103" t="s">
        <v>181</v>
      </c>
      <c r="J17" s="103" t="s">
        <v>157</v>
      </c>
      <c r="K17" s="103"/>
      <c r="L17" s="103"/>
    </row>
    <row r="18" spans="9:12">
      <c r="I18" s="103" t="s">
        <v>160</v>
      </c>
      <c r="J18" s="103" t="s">
        <v>172</v>
      </c>
      <c r="K18" s="103"/>
      <c r="L18" s="103"/>
    </row>
    <row r="19" spans="9:12">
      <c r="I19" s="103" t="s">
        <v>182</v>
      </c>
      <c r="J19" s="103" t="s">
        <v>163</v>
      </c>
      <c r="K19" s="103"/>
      <c r="L19" s="103"/>
    </row>
    <row r="20" spans="9:12">
      <c r="I20" s="103" t="s">
        <v>164</v>
      </c>
      <c r="J20" s="103"/>
      <c r="K20" s="103"/>
      <c r="L20" s="103"/>
    </row>
    <row r="21" spans="9:12">
      <c r="I21" s="103" t="s">
        <v>176</v>
      </c>
      <c r="J21" s="103"/>
      <c r="K21" s="103"/>
      <c r="L21" s="103"/>
    </row>
    <row r="22" spans="9:12">
      <c r="I22" s="103" t="s">
        <v>161</v>
      </c>
      <c r="J22" s="103"/>
      <c r="K22" s="103"/>
      <c r="L22" s="103"/>
    </row>
    <row r="23" spans="9:12">
      <c r="I23" s="103" t="s">
        <v>166</v>
      </c>
      <c r="J23" s="103"/>
      <c r="K23" s="103"/>
      <c r="L23" s="103"/>
    </row>
    <row r="24" spans="9:12">
      <c r="I24" s="103" t="s">
        <v>173</v>
      </c>
      <c r="J24" s="103"/>
      <c r="K24" s="103"/>
      <c r="L24" s="103"/>
    </row>
    <row r="25" spans="9:12">
      <c r="I25" s="103" t="s">
        <v>183</v>
      </c>
      <c r="J25" s="103"/>
      <c r="K25" s="103"/>
      <c r="L25" s="103"/>
    </row>
    <row r="26" spans="9:12">
      <c r="I26" s="103" t="s">
        <v>177</v>
      </c>
      <c r="J26" s="103"/>
      <c r="K26" s="103"/>
      <c r="L26" s="103"/>
    </row>
    <row r="27" spans="9:12">
      <c r="I27" s="103" t="s">
        <v>178</v>
      </c>
      <c r="J27" s="103"/>
      <c r="K27" s="103"/>
      <c r="L27" s="103"/>
    </row>
    <row r="28" spans="9:12">
      <c r="I28" s="103" t="s">
        <v>198</v>
      </c>
      <c r="J28" s="103"/>
      <c r="K28" s="103"/>
      <c r="L28" s="103"/>
    </row>
    <row r="29" spans="9:12">
      <c r="I29" s="103" t="s">
        <v>162</v>
      </c>
      <c r="J29" s="103"/>
      <c r="K29" s="103"/>
      <c r="L29" s="103"/>
    </row>
    <row r="30" spans="9:12">
      <c r="I30" s="103" t="s">
        <v>168</v>
      </c>
      <c r="J30" s="103"/>
      <c r="K30" s="103"/>
      <c r="L30" s="103"/>
    </row>
    <row r="31" spans="9:12">
      <c r="I31" s="103" t="s">
        <v>199</v>
      </c>
      <c r="J31" s="103"/>
      <c r="K31" s="103"/>
      <c r="L31" s="103"/>
    </row>
    <row r="32" spans="9:12">
      <c r="I32" s="103" t="s">
        <v>200</v>
      </c>
      <c r="J32" s="103"/>
      <c r="K32" s="103"/>
      <c r="L32" s="103"/>
    </row>
    <row r="33" spans="9:12">
      <c r="I33" s="103" t="s">
        <v>0</v>
      </c>
      <c r="J33" s="103"/>
      <c r="K33" s="103"/>
      <c r="L33" s="103"/>
    </row>
    <row r="34" spans="9:12">
      <c r="I34" s="103" t="s">
        <v>195</v>
      </c>
      <c r="J34" s="103"/>
      <c r="K34" s="103"/>
      <c r="L34" s="103"/>
    </row>
    <row r="35" spans="9:12">
      <c r="I35" s="103" t="s">
        <v>179</v>
      </c>
      <c r="J35" s="103"/>
      <c r="K35" s="103"/>
      <c r="L35" s="103"/>
    </row>
    <row r="36" spans="9:12">
      <c r="I36" s="103" t="s">
        <v>165</v>
      </c>
      <c r="J36" s="103"/>
      <c r="K36" s="103"/>
      <c r="L36" s="103"/>
    </row>
    <row r="37" spans="9:12">
      <c r="I37" s="103" t="s">
        <v>175</v>
      </c>
      <c r="J37" s="103"/>
      <c r="K37" s="103"/>
      <c r="L37" s="103"/>
    </row>
    <row r="38" spans="9:12">
      <c r="I38" s="103" t="s">
        <v>157</v>
      </c>
      <c r="J38" s="103"/>
      <c r="K38" s="103"/>
      <c r="L38" s="103"/>
    </row>
    <row r="39" spans="9:12">
      <c r="I39" s="103" t="s">
        <v>184</v>
      </c>
      <c r="J39" s="103"/>
      <c r="K39" s="103"/>
      <c r="L39" s="103"/>
    </row>
    <row r="40" spans="9:12">
      <c r="I40" s="103" t="s">
        <v>172</v>
      </c>
      <c r="J40" s="103"/>
      <c r="K40" s="103"/>
      <c r="L40" s="103"/>
    </row>
    <row r="41" spans="9:12">
      <c r="I41" s="103" t="s">
        <v>163</v>
      </c>
      <c r="J41" s="103"/>
      <c r="K41" s="103"/>
      <c r="L41" s="103"/>
    </row>
  </sheetData>
  <sheetProtection formatCells="0" formatColumns="0" formatRows="0" selectLockedCells="1"/>
  <sortState xmlns:xlrd2="http://schemas.microsoft.com/office/spreadsheetml/2017/richdata2" ref="L6:L11">
    <sortCondition ref="L5"/>
  </sortState>
  <mergeCells count="1">
    <mergeCell ref="I3:L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28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0000"/>
  </sheetPr>
  <dimension ref="B1:K43"/>
  <sheetViews>
    <sheetView zoomScale="80" zoomScaleNormal="80" workbookViewId="0">
      <selection activeCell="A45" sqref="A45:Q109"/>
    </sheetView>
  </sheetViews>
  <sheetFormatPr defaultRowHeight="14.5"/>
  <cols>
    <col min="2" max="2" width="11.54296875" bestFit="1" customWidth="1"/>
    <col min="3" max="3" width="15" bestFit="1" customWidth="1"/>
    <col min="4" max="4" width="15.81640625" bestFit="1" customWidth="1"/>
    <col min="5" max="5" width="44.1796875" customWidth="1"/>
    <col min="7" max="7" width="14.453125" bestFit="1" customWidth="1"/>
    <col min="8" max="8" width="10" bestFit="1" customWidth="1"/>
    <col min="9" max="9" width="15.453125" customWidth="1"/>
    <col min="10" max="10" width="15.54296875" customWidth="1"/>
    <col min="11" max="11" width="13.54296875" bestFit="1" customWidth="1"/>
  </cols>
  <sheetData>
    <row r="1" spans="2:11" ht="15" thickBot="1"/>
    <row r="2" spans="2:11">
      <c r="B2" s="7"/>
      <c r="C2" s="8"/>
      <c r="D2" s="8"/>
      <c r="E2" s="8"/>
      <c r="F2" s="8"/>
      <c r="G2" s="8"/>
      <c r="H2" s="8"/>
      <c r="I2" s="8"/>
      <c r="J2" s="8"/>
      <c r="K2" s="9"/>
    </row>
    <row r="3" spans="2:11" s="6" customFormat="1" ht="29">
      <c r="B3" s="13" t="s">
        <v>24</v>
      </c>
      <c r="C3" s="14" t="s">
        <v>6</v>
      </c>
      <c r="D3" s="14" t="s">
        <v>7</v>
      </c>
      <c r="E3" s="14" t="s">
        <v>5</v>
      </c>
      <c r="F3" s="14" t="s">
        <v>2</v>
      </c>
      <c r="G3" s="14" t="s">
        <v>4</v>
      </c>
      <c r="H3" s="14" t="s">
        <v>3</v>
      </c>
      <c r="I3" s="14" t="s">
        <v>8</v>
      </c>
      <c r="J3" s="14" t="s">
        <v>9</v>
      </c>
      <c r="K3" s="15" t="s">
        <v>10</v>
      </c>
    </row>
    <row r="4" spans="2:11">
      <c r="B4" s="1"/>
      <c r="K4" s="2"/>
    </row>
    <row r="5" spans="2:11">
      <c r="B5" s="1"/>
      <c r="K5" s="2"/>
    </row>
    <row r="6" spans="2:11">
      <c r="B6" s="1"/>
      <c r="K6" s="2"/>
    </row>
    <row r="7" spans="2:11">
      <c r="B7" s="1"/>
      <c r="K7" s="2"/>
    </row>
    <row r="8" spans="2:11">
      <c r="B8" s="1"/>
      <c r="K8" s="2"/>
    </row>
    <row r="9" spans="2:11">
      <c r="B9" s="1"/>
      <c r="K9" s="2"/>
    </row>
    <row r="10" spans="2:11">
      <c r="B10" s="1"/>
      <c r="K10" s="2"/>
    </row>
    <row r="11" spans="2:11">
      <c r="B11" s="1"/>
      <c r="K11" s="2"/>
    </row>
    <row r="12" spans="2:11">
      <c r="B12" s="1"/>
      <c r="K12" s="2"/>
    </row>
    <row r="13" spans="2:11">
      <c r="B13" s="1"/>
      <c r="K13" s="2"/>
    </row>
    <row r="14" spans="2:11">
      <c r="B14" s="1"/>
      <c r="K14" s="2"/>
    </row>
    <row r="15" spans="2:11">
      <c r="B15" s="1"/>
      <c r="K15" s="2"/>
    </row>
    <row r="16" spans="2:11">
      <c r="B16" s="1"/>
      <c r="K16" s="2"/>
    </row>
    <row r="17" spans="2:11">
      <c r="B17" s="1"/>
      <c r="K17" s="2"/>
    </row>
    <row r="18" spans="2:11">
      <c r="B18" s="1"/>
      <c r="K18" s="2"/>
    </row>
    <row r="19" spans="2:11">
      <c r="B19" s="1"/>
      <c r="K19" s="2"/>
    </row>
    <row r="20" spans="2:11">
      <c r="B20" s="1"/>
      <c r="K20" s="2"/>
    </row>
    <row r="21" spans="2:11">
      <c r="B21" s="1"/>
      <c r="K21" s="2"/>
    </row>
    <row r="22" spans="2:11">
      <c r="B22" s="1"/>
      <c r="K22" s="2"/>
    </row>
    <row r="23" spans="2:11">
      <c r="B23" s="1"/>
      <c r="K23" s="2"/>
    </row>
    <row r="24" spans="2:11">
      <c r="B24" s="1"/>
      <c r="K24" s="2"/>
    </row>
    <row r="25" spans="2:11">
      <c r="B25" s="1"/>
      <c r="K25" s="2"/>
    </row>
    <row r="26" spans="2:11">
      <c r="B26" s="1"/>
      <c r="K26" s="2"/>
    </row>
    <row r="27" spans="2:11">
      <c r="B27" s="1"/>
      <c r="K27" s="2"/>
    </row>
    <row r="28" spans="2:11">
      <c r="B28" s="1"/>
      <c r="K28" s="2"/>
    </row>
    <row r="29" spans="2:11">
      <c r="B29" s="1"/>
      <c r="K29" s="2"/>
    </row>
    <row r="30" spans="2:11">
      <c r="B30" s="1"/>
      <c r="K30" s="2"/>
    </row>
    <row r="31" spans="2:11">
      <c r="B31" s="1"/>
      <c r="K31" s="2"/>
    </row>
    <row r="32" spans="2:11">
      <c r="B32" s="1"/>
      <c r="K32" s="2"/>
    </row>
    <row r="33" spans="2:11">
      <c r="B33" s="1"/>
      <c r="K33" s="2"/>
    </row>
    <row r="34" spans="2:11">
      <c r="B34" s="1"/>
      <c r="K34" s="2"/>
    </row>
    <row r="35" spans="2:11">
      <c r="B35" s="1"/>
      <c r="K35" s="2"/>
    </row>
    <row r="36" spans="2:11">
      <c r="B36" s="1"/>
      <c r="K36" s="2"/>
    </row>
    <row r="37" spans="2:11">
      <c r="B37" s="1"/>
      <c r="K37" s="2"/>
    </row>
    <row r="38" spans="2:11">
      <c r="B38" s="1"/>
      <c r="K38" s="2"/>
    </row>
    <row r="39" spans="2:11">
      <c r="B39" s="1"/>
      <c r="K39" s="2"/>
    </row>
    <row r="40" spans="2:11">
      <c r="B40" s="1"/>
      <c r="K40" s="2"/>
    </row>
    <row r="41" spans="2:11">
      <c r="B41" s="1"/>
      <c r="K41" s="2"/>
    </row>
    <row r="42" spans="2:11" ht="15" thickBot="1">
      <c r="B42" s="10"/>
      <c r="C42" s="11"/>
      <c r="D42" s="11"/>
      <c r="E42" s="11"/>
      <c r="F42" s="11"/>
      <c r="G42" s="11"/>
      <c r="H42" s="11"/>
      <c r="I42" s="11"/>
      <c r="J42" s="11"/>
      <c r="K42" s="12">
        <f>+SUM(K4:K41)</f>
        <v>0</v>
      </c>
    </row>
    <row r="43" spans="2:11" ht="15.5" thickTop="1" thickBot="1">
      <c r="B43" s="3"/>
      <c r="C43" s="4"/>
      <c r="D43" s="4"/>
      <c r="E43" s="4"/>
      <c r="F43" s="4"/>
      <c r="G43" s="4"/>
      <c r="H43" s="4"/>
      <c r="I43" s="4"/>
      <c r="J43" s="4"/>
      <c r="K43" s="5"/>
    </row>
  </sheetData>
  <phoneticPr fontId="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B5A0478D5BAA468C37EDC30A678D5F" ma:contentTypeVersion="16" ma:contentTypeDescription="Create a new document." ma:contentTypeScope="" ma:versionID="9541fc098dec917e846a34aaa004ebdf">
  <xsd:schema xmlns:xsd="http://www.w3.org/2001/XMLSchema" xmlns:xs="http://www.w3.org/2001/XMLSchema" xmlns:p="http://schemas.microsoft.com/office/2006/metadata/properties" xmlns:ns2="29aa5c69-f5dc-43bc-9cf5-cf5dbc6c8433" xmlns:ns3="ccc3b254-e7c4-4157-865e-98b47663bd56" targetNamespace="http://schemas.microsoft.com/office/2006/metadata/properties" ma:root="true" ma:fieldsID="6045a624e508db87ec838bfbfceb279e" ns2:_="" ns3:_="">
    <xsd:import namespace="29aa5c69-f5dc-43bc-9cf5-cf5dbc6c8433"/>
    <xsd:import namespace="ccc3b254-e7c4-4157-865e-98b47663bd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aa5c69-f5dc-43bc-9cf5-cf5dbc6c84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623f98f-26e5-4511-8b3c-dc3fef3e67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3b254-e7c4-4157-865e-98b47663bd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ff61186-5dca-4bff-abe1-d87fa5a77f7a}" ma:internalName="TaxCatchAll" ma:showField="CatchAllData" ma:web="ccc3b254-e7c4-4157-865e-98b47663bd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c3b254-e7c4-4157-865e-98b47663bd56" xsi:nil="true"/>
    <lcf76f155ced4ddcb4097134ff3c332f xmlns="29aa5c69-f5dc-43bc-9cf5-cf5dbc6c843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E75A992-491A-48C1-A5E7-61160D2DAE26}"/>
</file>

<file path=customXml/itemProps2.xml><?xml version="1.0" encoding="utf-8"?>
<ds:datastoreItem xmlns:ds="http://schemas.openxmlformats.org/officeDocument/2006/customXml" ds:itemID="{9DEFA376-8768-4BB6-A17D-F891CCC16B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B7DC4B-9A07-497A-AEBA-0499148784B4}">
  <ds:schemaRefs>
    <ds:schemaRef ds:uri="http://schemas.microsoft.com/office/2006/metadata/properties"/>
    <ds:schemaRef ds:uri="http://schemas.microsoft.com/office/infopath/2007/PartnerControls"/>
    <ds:schemaRef ds:uri="2320d72d-0c04-4acc-b7b7-452d3441f772"/>
    <ds:schemaRef ds:uri="9d4c5bf4-2404-437c-939d-f8b39fc7a6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18</vt:i4>
      </vt:variant>
    </vt:vector>
  </HeadingPairs>
  <TitlesOfParts>
    <vt:vector size="30" baseType="lpstr">
      <vt:lpstr>Instructions</vt:lpstr>
      <vt:lpstr>Inputs</vt:lpstr>
      <vt:lpstr>Inputs (Example)</vt:lpstr>
      <vt:lpstr>Summary</vt:lpstr>
      <vt:lpstr>BD Summary</vt:lpstr>
      <vt:lpstr>SfD</vt:lpstr>
      <vt:lpstr>Non Attributable Cost</vt:lpstr>
      <vt:lpstr>Tables</vt:lpstr>
      <vt:lpstr>Consumables Breakdown</vt:lpstr>
      <vt:lpstr>KCH Resources</vt:lpstr>
      <vt:lpstr>GSTT Resources</vt:lpstr>
      <vt:lpstr>AfC</vt:lpstr>
      <vt:lpstr>Bedford</vt:lpstr>
      <vt:lpstr>GSTT</vt:lpstr>
      <vt:lpstr>KCH_Denmark_Hill</vt:lpstr>
      <vt:lpstr>KCH_PRUH</vt:lpstr>
      <vt:lpstr>AfC!Print_Area</vt:lpstr>
      <vt:lpstr>'BD Summary'!Print_Area</vt:lpstr>
      <vt:lpstr>'GSTT Resources'!Print_Area</vt:lpstr>
      <vt:lpstr>Inputs!Print_Area</vt:lpstr>
      <vt:lpstr>'Inputs (Example)'!Print_Area</vt:lpstr>
      <vt:lpstr>'KCH Resources'!Print_Area</vt:lpstr>
      <vt:lpstr>SfD!Print_Area</vt:lpstr>
      <vt:lpstr>Summary!Print_Area</vt:lpstr>
      <vt:lpstr>rngListCSRServices</vt:lpstr>
      <vt:lpstr>rngListPhlebotomyService</vt:lpstr>
      <vt:lpstr>rngListSite</vt:lpstr>
      <vt:lpstr>rngListTestType</vt:lpstr>
      <vt:lpstr>rngSalaryBands</vt:lpstr>
      <vt:lpstr>Sites</vt:lpstr>
    </vt:vector>
  </TitlesOfParts>
  <Company>GSTT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SRoberts2</dc:creator>
  <cp:lastModifiedBy>Julie Koo Seen Lin</cp:lastModifiedBy>
  <cp:lastPrinted>2019-10-29T14:19:28Z</cp:lastPrinted>
  <dcterms:created xsi:type="dcterms:W3CDTF">2011-05-04T07:58:21Z</dcterms:created>
  <dcterms:modified xsi:type="dcterms:W3CDTF">2025-01-30T17:37:53Z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0x0101006AB5A0478D5BAA468C37EDC30A678D5F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