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ie Baxter\Documents\"/>
    </mc:Choice>
  </mc:AlternateContent>
  <xr:revisionPtr revIDLastSave="0" documentId="8_{0B77C941-00E2-41A2-B99D-D11F87776BF8}" xr6:coauthVersionLast="47" xr6:coauthVersionMax="47" xr10:uidLastSave="{00000000-0000-0000-0000-000000000000}"/>
  <bookViews>
    <workbookView xWindow="-120" yWindow="-120" windowWidth="20730" windowHeight="11040" xr2:uid="{CE35F5ED-7D9E-498E-B905-68684FE4BA9A}"/>
  </bookViews>
  <sheets>
    <sheet name="Input" sheetId="2" r:id="rId1"/>
    <sheet name="Workings" sheetId="1" state="hidden" r:id="rId2"/>
  </sheets>
  <externalReferences>
    <externalReference r:id="rId3"/>
  </externalReferences>
  <definedNames>
    <definedName name="Laboratories">OFFSET(LaboratoriesList,0,0,COUNTA(LaboratoriesList),1)</definedName>
    <definedName name="LaboratoriesList">INDEX([1]Tables!$I$5:$L$41,0,MATCH(#REF!,[1]Tables!$I$4:$L$4,0))</definedName>
    <definedName name="_xlnm.Print_Area" localSheetId="0">Input!$B$1:$F$17</definedName>
    <definedName name="rngListCSRServices">[1]Tables!$E$5:$E$10</definedName>
    <definedName name="rngListPhlebotomyService">[1]Tables!$D$5:$D$7</definedName>
    <definedName name="rngListSite">[1]Tables!$H$5:$H$9</definedName>
    <definedName name="rngListTestType">[1]Tables!$C$5:$C$7</definedName>
    <definedName name="rngSalaryBands">[1]AfC!$B$100:$B$111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6" i="2" l="1"/>
  <c r="E7" i="2"/>
  <c r="E8" i="2"/>
  <c r="E10" i="2"/>
  <c r="E11" i="2"/>
  <c r="E12" i="2"/>
  <c r="E13" i="2"/>
  <c r="E14" i="2"/>
  <c r="E15" i="2"/>
  <c r="E5" i="2"/>
  <c r="I8" i="1"/>
  <c r="I7" i="1"/>
  <c r="E22" i="1"/>
  <c r="E24" i="1"/>
  <c r="E26" i="1"/>
  <c r="E28" i="1"/>
  <c r="E6" i="1"/>
  <c r="G6" i="1"/>
  <c r="E7" i="1"/>
  <c r="F7" i="1"/>
  <c r="F8" i="1" s="1"/>
  <c r="G7" i="1"/>
  <c r="E8" i="1"/>
  <c r="E9" i="1"/>
  <c r="E10" i="1"/>
  <c r="E9" i="2" s="1"/>
  <c r="E11" i="1"/>
  <c r="E12" i="1"/>
  <c r="E13" i="1"/>
  <c r="E14" i="1"/>
  <c r="E15" i="1"/>
  <c r="E16" i="1"/>
  <c r="E17" i="1"/>
  <c r="G17" i="1" s="1"/>
  <c r="E29" i="1"/>
  <c r="D30" i="1"/>
  <c r="E30" i="1"/>
  <c r="F9" i="1" l="1"/>
  <c r="G8" i="1"/>
  <c r="E16" i="2"/>
  <c r="E17" i="2" s="1"/>
  <c r="E18" i="2" s="1"/>
  <c r="G9" i="1" l="1"/>
  <c r="F10" i="1"/>
  <c r="F11" i="1" l="1"/>
  <c r="G10" i="1"/>
  <c r="F12" i="1" l="1"/>
  <c r="G11" i="1"/>
  <c r="F13" i="1" l="1"/>
  <c r="G12" i="1"/>
  <c r="F14" i="1" l="1"/>
  <c r="G13" i="1"/>
  <c r="F15" i="1" l="1"/>
  <c r="G14" i="1"/>
  <c r="G15" i="1" l="1"/>
  <c r="F16" i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ahyam</author>
  </authors>
  <commentList>
    <comment ref="F4" authorId="0" shapeId="0" xr:uid="{4C5ACBF5-D15F-4613-B484-C5184C1722D0}">
      <text>
        <r>
          <rPr>
            <b/>
            <sz val="12"/>
            <color indexed="81"/>
            <rFont val="Tahoma"/>
            <family val="2"/>
          </rPr>
          <t>ahyam:</t>
        </r>
        <r>
          <rPr>
            <sz val="12"/>
            <color indexed="81"/>
            <rFont val="Tahoma"/>
            <family val="2"/>
          </rPr>
          <t xml:space="preserve">
this represents that an employee is never fully occupied on reveneu-generating tasks (i.e., tests) and that they spend a proportion of their time on tasks that INDIRECTLY deliver the service, e.g., quality, meetings, as well as on toilet breaks, chats, etc.
CPT model suggests a utilisation rate of less than 50%...tbc once CPT model data has been sense-checked</t>
        </r>
      </text>
    </comment>
    <comment ref="D17" authorId="0" shapeId="0" xr:uid="{CE614864-5A92-4FCD-A786-FA39C901F58B}">
      <text>
        <r>
          <rPr>
            <b/>
            <sz val="8"/>
            <color indexed="81"/>
            <rFont val="Tahoma"/>
            <family val="2"/>
          </rPr>
          <t>ahyam:</t>
        </r>
        <r>
          <rPr>
            <sz val="8"/>
            <color indexed="81"/>
            <rFont val="Tahoma"/>
            <family val="2"/>
          </rPr>
          <t xml:space="preserve">
we pay our Trusts £14-16k/PA *12 months</t>
        </r>
      </text>
    </comment>
  </commentList>
</comments>
</file>

<file path=xl/sharedStrings.xml><?xml version="1.0" encoding="utf-8"?>
<sst xmlns="http://schemas.openxmlformats.org/spreadsheetml/2006/main" count="52" uniqueCount="41">
  <si>
    <t>Minutes</t>
  </si>
  <si>
    <t>Hours</t>
  </si>
  <si>
    <t>Days @ work</t>
  </si>
  <si>
    <t>Avg Training / Conferences etc</t>
  </si>
  <si>
    <t>Avg Sick (avg NHS)</t>
  </si>
  <si>
    <t>Avg Annual Leave</t>
  </si>
  <si>
    <t>Annual Work Days</t>
  </si>
  <si>
    <t>Less Bank Holidays</t>
  </si>
  <si>
    <t>52 weeks x 5 working days</t>
  </si>
  <si>
    <t>Assumptions per employee</t>
  </si>
  <si>
    <t>Trust Consultant</t>
  </si>
  <si>
    <t>Band 9</t>
  </si>
  <si>
    <t>Band 8d</t>
  </si>
  <si>
    <t>Band 8c</t>
  </si>
  <si>
    <t>Band 8b</t>
  </si>
  <si>
    <t>Band 8a</t>
  </si>
  <si>
    <t>Band 7</t>
  </si>
  <si>
    <t>Band 6</t>
  </si>
  <si>
    <t>Band 5</t>
  </si>
  <si>
    <t>Band 4</t>
  </si>
  <si>
    <t>Band 3</t>
  </si>
  <si>
    <t>Band 2</t>
  </si>
  <si>
    <t>Band 1</t>
  </si>
  <si>
    <t>Cost / WD (with Utilisation multiplier)</t>
  </si>
  <si>
    <t>Utilisation Rate</t>
  </si>
  <si>
    <t>Cost / Work Day (WD)</t>
  </si>
  <si>
    <t>Days</t>
  </si>
  <si>
    <t>Cost</t>
  </si>
  <si>
    <t>Input estimate of days into yellow cells</t>
  </si>
  <si>
    <t>Units</t>
  </si>
  <si>
    <t>Months</t>
  </si>
  <si>
    <t>Number</t>
  </si>
  <si>
    <t>(2) Enter the number of days or months you need for the project</t>
  </si>
  <si>
    <t xml:space="preserve">Add Contingency </t>
  </si>
  <si>
    <t>Total Estimate for your Project</t>
  </si>
  <si>
    <t>(3) Add a contingency for errors and ommissions, overruns, etc.</t>
  </si>
  <si>
    <t>This file provides an estimate of total employment costs (incl. taxes and pensions etc.) to include in your IAF application</t>
  </si>
  <si>
    <t>(1) Select "Days" or "Months" in the dropdown list in the "Units" column</t>
  </si>
  <si>
    <t>Top of Band: Cost of Employment 2023/24</t>
  </si>
  <si>
    <t>Gross Salary inc HCA, ErNIC &amp; Pens 2023/24</t>
  </si>
  <si>
    <t>Staff Cost Estimator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</si>
</sst>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-;[Red]\(#,##0\);\-_-"/>
    <numFmt numFmtId="165" formatCode="#,##0.0_-;[Red]\(#,##0.0\);\-_-"/>
    <numFmt numFmtId="166" formatCode="0.0%"/>
    <numFmt numFmtId="167" formatCode="_-&quot;£&quot;* #,##0_-;\-&quot;£&quot;* #,##0_-;_-&quot;£&quot;* &quot;-&quot;??_-;_-@_-"/>
    <numFmt numFmtId="168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6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4" fillId="0" borderId="1" xfId="2" applyNumberFormat="1" applyFont="1" applyBorder="1"/>
    <xf numFmtId="164" fontId="4" fillId="0" borderId="2" xfId="2" applyNumberFormat="1" applyFont="1" applyBorder="1"/>
    <xf numFmtId="0" fontId="5" fillId="0" borderId="2" xfId="2" applyFont="1" applyBorder="1"/>
    <xf numFmtId="0" fontId="2" fillId="0" borderId="3" xfId="0" applyFont="1" applyBorder="1"/>
    <xf numFmtId="165" fontId="4" fillId="0" borderId="0" xfId="2" applyNumberFormat="1" applyFont="1"/>
    <xf numFmtId="0" fontId="6" fillId="0" borderId="0" xfId="0" applyFont="1"/>
    <xf numFmtId="0" fontId="2" fillId="0" borderId="4" xfId="0" applyFont="1" applyBorder="1"/>
    <xf numFmtId="0" fontId="2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4" xfId="2" applyFont="1" applyBorder="1"/>
    <xf numFmtId="165" fontId="7" fillId="0" borderId="5" xfId="2" applyNumberFormat="1" applyFont="1" applyBorder="1"/>
    <xf numFmtId="0" fontId="4" fillId="0" borderId="0" xfId="2" applyFont="1" applyAlignment="1">
      <alignment horizontal="left"/>
    </xf>
    <xf numFmtId="166" fontId="2" fillId="0" borderId="0" xfId="0" applyNumberFormat="1" applyFont="1"/>
    <xf numFmtId="0" fontId="2" fillId="0" borderId="0" xfId="0" applyFont="1" applyAlignment="1">
      <alignment vertical="center"/>
    </xf>
    <xf numFmtId="165" fontId="7" fillId="0" borderId="5" xfId="2" applyNumberFormat="1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165" fontId="4" fillId="0" borderId="5" xfId="2" applyNumberFormat="1" applyFont="1" applyBorder="1" applyAlignment="1">
      <alignment vertical="center"/>
    </xf>
    <xf numFmtId="165" fontId="7" fillId="0" borderId="6" xfId="2" applyNumberFormat="1" applyFont="1" applyBorder="1"/>
    <xf numFmtId="0" fontId="2" fillId="0" borderId="5" xfId="0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0" fillId="0" borderId="0" xfId="0" applyAlignment="1">
      <alignment horizontal="center"/>
    </xf>
    <xf numFmtId="167" fontId="2" fillId="0" borderId="1" xfId="3" applyNumberFormat="1" applyFont="1" applyBorder="1" applyAlignment="1">
      <alignment vertical="center"/>
    </xf>
    <xf numFmtId="9" fontId="2" fillId="2" borderId="1" xfId="0" applyNumberFormat="1" applyFont="1" applyFill="1" applyBorder="1" applyAlignment="1">
      <alignment horizontal="center"/>
    </xf>
    <xf numFmtId="167" fontId="2" fillId="3" borderId="1" xfId="3" applyNumberFormat="1" applyFont="1" applyFill="1" applyBorder="1"/>
    <xf numFmtId="0" fontId="2" fillId="0" borderId="1" xfId="0" applyFont="1" applyBorder="1"/>
    <xf numFmtId="9" fontId="2" fillId="0" borderId="1" xfId="0" applyNumberFormat="1" applyFont="1" applyBorder="1" applyAlignment="1">
      <alignment horizontal="center" vertical="center"/>
    </xf>
    <xf numFmtId="167" fontId="2" fillId="3" borderId="1" xfId="3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44" fontId="2" fillId="0" borderId="1" xfId="3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4" borderId="0" xfId="0" applyFont="1" applyFill="1"/>
    <xf numFmtId="167" fontId="6" fillId="0" borderId="1" xfId="3" applyNumberFormat="1" applyFont="1" applyBorder="1" applyAlignment="1">
      <alignment vertical="center"/>
    </xf>
    <xf numFmtId="44" fontId="0" fillId="0" borderId="0" xfId="0" applyNumberFormat="1"/>
    <xf numFmtId="165" fontId="4" fillId="0" borderId="1" xfId="2" applyNumberFormat="1" applyFont="1" applyBorder="1"/>
    <xf numFmtId="168" fontId="2" fillId="5" borderId="1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7" fontId="6" fillId="0" borderId="12" xfId="3" applyNumberFormat="1" applyFont="1" applyBorder="1" applyAlignment="1">
      <alignment vertical="center"/>
    </xf>
    <xf numFmtId="9" fontId="0" fillId="5" borderId="0" xfId="0" applyNumberFormat="1" applyFill="1" applyAlignment="1">
      <alignment horizontal="center"/>
    </xf>
  </cellXfs>
  <cellStyles count="4">
    <cellStyle name="Comma" xfId="1" builtinId="3"/>
    <cellStyle name="Currency 13" xfId="3" xr:uid="{A6052F7E-4D2D-436C-AD36-A1FE326A345A}"/>
    <cellStyle name="Normal" xfId="0" builtinId="0"/>
    <cellStyle name="Style 1" xfId="2" xr:uid="{575351E1-E260-465C-B114-F61E4BDEE7C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Contract%20Documents\New%20Test%20Templates%20&amp;%20Competitor%20Price%20Lists\BoM%20-%20Template%202022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Guide"/>
      <sheetName val="Inputs"/>
      <sheetName val="Summary"/>
      <sheetName val="BD Summary"/>
      <sheetName val="SfD"/>
      <sheetName val="Non Attributable Cost"/>
      <sheetName val="Tables"/>
      <sheetName val="Consumables Breakdown"/>
      <sheetName val="KCH Resources"/>
      <sheetName val="GSTT Resources"/>
      <sheetName val="A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GSTT</v>
          </cell>
          <cell r="J4" t="str">
            <v>KCH Denmark Hill</v>
          </cell>
          <cell r="K4" t="str">
            <v>KCH PRUH</v>
          </cell>
          <cell r="L4" t="str">
            <v>Bedford</v>
          </cell>
        </row>
        <row r="5">
          <cell r="C5" t="str">
            <v>&lt; select &gt;</v>
          </cell>
          <cell r="D5" t="str">
            <v>&lt; select &gt;</v>
          </cell>
          <cell r="E5" t="str">
            <v>&lt; select &gt;</v>
          </cell>
          <cell r="H5" t="str">
            <v>&lt; select &gt;</v>
          </cell>
          <cell r="I5" t="str">
            <v>Core Chemistry</v>
          </cell>
          <cell r="J5" t="str">
            <v>Core Chemistry</v>
          </cell>
          <cell r="K5" t="str">
            <v>Bacteriology</v>
          </cell>
          <cell r="L5" t="str">
            <v>Chemistry</v>
          </cell>
        </row>
        <row r="6">
          <cell r="C6" t="str">
            <v>Change in Methodology</v>
          </cell>
          <cell r="D6" t="str">
            <v>Adult Bleed</v>
          </cell>
          <cell r="E6" t="str">
            <v>Booking In</v>
          </cell>
          <cell r="H6" t="str">
            <v>GSTT</v>
          </cell>
          <cell r="I6" t="str">
            <v>Array</v>
          </cell>
          <cell r="J6" t="str">
            <v>Blood Transfusion</v>
          </cell>
          <cell r="K6" t="str">
            <v>Blood Sciences</v>
          </cell>
          <cell r="L6" t="str">
            <v>Admin &amp; Clerical</v>
          </cell>
        </row>
        <row r="7">
          <cell r="C7" t="str">
            <v>New Test</v>
          </cell>
          <cell r="D7" t="str">
            <v>Paediatric Bleed</v>
          </cell>
          <cell r="E7" t="str">
            <v>Aliquot</v>
          </cell>
          <cell r="H7" t="str">
            <v>KCH Denmark Hill</v>
          </cell>
          <cell r="I7" t="str">
            <v>Biochemical Genetics</v>
          </cell>
          <cell r="J7" t="str">
            <v>Clinical trials</v>
          </cell>
          <cell r="K7" t="str">
            <v>Histopathology</v>
          </cell>
          <cell r="L7" t="str">
            <v>Central Specimen Reception</v>
          </cell>
        </row>
        <row r="8">
          <cell r="E8" t="str">
            <v>Centrifuge</v>
          </cell>
          <cell r="H8" t="str">
            <v>KCH PRUH</v>
          </cell>
          <cell r="I8" t="str">
            <v>Blood Transfusion</v>
          </cell>
          <cell r="J8" t="str">
            <v>Core Haematology</v>
          </cell>
          <cell r="K8" t="str">
            <v>Immunology</v>
          </cell>
          <cell r="L8" t="str">
            <v>Cytology</v>
          </cell>
        </row>
        <row r="9">
          <cell r="E9" t="str">
            <v>Booking In &amp; Separation</v>
          </cell>
          <cell r="H9" t="str">
            <v>Bedford</v>
          </cell>
          <cell r="I9" t="str">
            <v>Clinical Transplantation</v>
          </cell>
          <cell r="J9" t="str">
            <v>Cytogenetics</v>
          </cell>
          <cell r="K9" t="str">
            <v>Virology</v>
          </cell>
          <cell r="L9" t="str">
            <v>Haematology</v>
          </cell>
        </row>
        <row r="10">
          <cell r="E10" t="str">
            <v>All</v>
          </cell>
          <cell r="I10" t="str">
            <v>Constitutional/Breakage</v>
          </cell>
          <cell r="J10" t="str">
            <v>Cytology</v>
          </cell>
          <cell r="L10" t="str">
            <v>Histopathology</v>
          </cell>
        </row>
        <row r="11">
          <cell r="I11" t="str">
            <v>Core Haematology</v>
          </cell>
          <cell r="J11" t="str">
            <v>Histopathology</v>
          </cell>
          <cell r="L11" t="str">
            <v>Microbiology</v>
          </cell>
        </row>
        <row r="12">
          <cell r="I12" t="str">
            <v>Cytogenetics</v>
          </cell>
          <cell r="J12" t="str">
            <v>Immunology</v>
          </cell>
        </row>
        <row r="13">
          <cell r="I13" t="str">
            <v>Cytology</v>
          </cell>
          <cell r="J13" t="str">
            <v>Microbiology</v>
          </cell>
        </row>
        <row r="14">
          <cell r="I14" t="str">
            <v>Dermatohistopathology</v>
          </cell>
          <cell r="J14" t="str">
            <v>Molecular</v>
          </cell>
        </row>
        <row r="15">
          <cell r="I15" t="str">
            <v>Diagnostic Haemostasis</v>
          </cell>
          <cell r="J15" t="str">
            <v>Phlebotomy</v>
          </cell>
        </row>
        <row r="16">
          <cell r="I16" t="str">
            <v>DNA Genetics</v>
          </cell>
          <cell r="J16" t="str">
            <v>Reference Chemistry</v>
          </cell>
        </row>
        <row r="17">
          <cell r="I17" t="str">
            <v>EB Laboratory</v>
          </cell>
          <cell r="J17" t="str">
            <v>Reference Haematology</v>
          </cell>
        </row>
        <row r="18">
          <cell r="I18" t="str">
            <v>Histopathology</v>
          </cell>
          <cell r="J18" t="str">
            <v>Toxicology</v>
          </cell>
        </row>
        <row r="19">
          <cell r="I19" t="str">
            <v>IMF</v>
          </cell>
          <cell r="J19" t="str">
            <v>Virology</v>
          </cell>
        </row>
        <row r="20">
          <cell r="I20" t="str">
            <v>Immunology</v>
          </cell>
        </row>
        <row r="21">
          <cell r="I21" t="str">
            <v>Inherrited Metabolic Disorders</v>
          </cell>
        </row>
        <row r="22">
          <cell r="I22" t="str">
            <v>Microbiology</v>
          </cell>
        </row>
        <row r="23">
          <cell r="I23" t="str">
            <v>Molecular</v>
          </cell>
        </row>
        <row r="24">
          <cell r="I24" t="str">
            <v>Molecular Haemostasis</v>
          </cell>
        </row>
        <row r="25">
          <cell r="I25" t="str">
            <v>Mycology</v>
          </cell>
        </row>
        <row r="26">
          <cell r="I26" t="str">
            <v>New Born Screening</v>
          </cell>
        </row>
        <row r="27">
          <cell r="I27" t="str">
            <v>Nutristasis</v>
          </cell>
        </row>
        <row r="28">
          <cell r="I28" t="str">
            <v>Oncology/FiSH</v>
          </cell>
        </row>
        <row r="29">
          <cell r="I29" t="str">
            <v>Oral Microbiology</v>
          </cell>
        </row>
        <row r="30">
          <cell r="I30" t="str">
            <v>Oral Pathology</v>
          </cell>
        </row>
        <row r="31">
          <cell r="I31" t="str">
            <v>PCR/MLPA</v>
          </cell>
        </row>
        <row r="32">
          <cell r="I32" t="str">
            <v>PGD</v>
          </cell>
        </row>
        <row r="33">
          <cell r="I33" t="str">
            <v>Phlebotomy</v>
          </cell>
        </row>
        <row r="34">
          <cell r="I34" t="str">
            <v>Preimplantation</v>
          </cell>
        </row>
        <row r="35">
          <cell r="I35" t="str">
            <v>Purines</v>
          </cell>
        </row>
        <row r="36">
          <cell r="I36" t="str">
            <v>Rapid Response Laboratories</v>
          </cell>
        </row>
        <row r="37">
          <cell r="I37" t="str">
            <v>Reference Chemistry</v>
          </cell>
        </row>
        <row r="38">
          <cell r="I38" t="str">
            <v>Reference Haematology</v>
          </cell>
        </row>
        <row r="39">
          <cell r="I39" t="str">
            <v>Skin Tumour Unit</v>
          </cell>
        </row>
        <row r="40">
          <cell r="I40" t="str">
            <v>Toxicology</v>
          </cell>
        </row>
        <row r="41">
          <cell r="I41" t="str">
            <v>Virology</v>
          </cell>
        </row>
      </sheetData>
      <sheetData sheetId="8" refreshError="1"/>
      <sheetData sheetId="9" refreshError="1"/>
      <sheetData sheetId="10" refreshError="1"/>
      <sheetData sheetId="11">
        <row r="100">
          <cell r="B100" t="str">
            <v>Band 2</v>
          </cell>
        </row>
        <row r="101">
          <cell r="B101" t="str">
            <v>Band 3</v>
          </cell>
        </row>
        <row r="102">
          <cell r="B102" t="str">
            <v>Band 4</v>
          </cell>
        </row>
        <row r="103">
          <cell r="B103" t="str">
            <v>Band 5</v>
          </cell>
        </row>
        <row r="104">
          <cell r="B104" t="str">
            <v>Band 6</v>
          </cell>
        </row>
        <row r="105">
          <cell r="B105" t="str">
            <v>Band 7</v>
          </cell>
        </row>
        <row r="106">
          <cell r="B106" t="str">
            <v>Band 8a</v>
          </cell>
        </row>
        <row r="107">
          <cell r="B107" t="str">
            <v>Band 8b</v>
          </cell>
        </row>
        <row r="108">
          <cell r="B108" t="str">
            <v>Band 8c</v>
          </cell>
        </row>
        <row r="109">
          <cell r="B109" t="str">
            <v>Band 8d</v>
          </cell>
        </row>
        <row r="110">
          <cell r="B110" t="str">
            <v>Band 9</v>
          </cell>
        </row>
        <row r="111">
          <cell r="B111" t="str">
            <v>Trust Consultant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7FDD-3527-40EE-983A-A729B84A0429}">
  <dimension ref="A1:F23"/>
  <sheetViews>
    <sheetView tabSelected="1" zoomScale="145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9" sqref="J9"/>
    </sheetView>
  </sheetViews>
  <sheetFormatPr defaultRowHeight="15"/>
  <cols>
    <col min="2" max="2" width="11.42578125" customWidth="1"/>
    <col min="5" max="5" width="11.85546875" customWidth="1"/>
    <col min="6" max="6" width="5.42578125" customWidth="1"/>
  </cols>
  <sheetData>
    <row r="1" spans="2:6" ht="21">
      <c r="B1" s="40" t="s">
        <v>40</v>
      </c>
      <c r="C1" s="40"/>
      <c r="D1" s="40"/>
      <c r="E1" s="40"/>
      <c r="F1" s="40"/>
    </row>
    <row r="2" spans="2:6">
      <c r="B2" t="s">
        <v>28</v>
      </c>
    </row>
    <row r="3" spans="2:6" ht="7.5" customHeight="1"/>
    <row r="4" spans="2:6">
      <c r="C4" s="26" t="s">
        <v>29</v>
      </c>
      <c r="D4" s="26" t="s">
        <v>31</v>
      </c>
      <c r="E4" s="26" t="s">
        <v>27</v>
      </c>
    </row>
    <row r="5" spans="2:6">
      <c r="B5" s="33" t="s">
        <v>21</v>
      </c>
      <c r="C5" s="44"/>
      <c r="D5" s="44"/>
      <c r="E5" s="27">
        <f>IF(C5="Days",D5*Workings!E6,IF(C5="Months",D5*(Workings!D6/12),0))</f>
        <v>0</v>
      </c>
    </row>
    <row r="6" spans="2:6">
      <c r="B6" s="33" t="s">
        <v>20</v>
      </c>
      <c r="C6" s="44"/>
      <c r="D6" s="44"/>
      <c r="E6" s="27">
        <f>IF(C6="Days",D6*Workings!E7,IF(C6="Months",D6*(Workings!D7/12),0))</f>
        <v>0</v>
      </c>
    </row>
    <row r="7" spans="2:6">
      <c r="B7" s="33" t="s">
        <v>19</v>
      </c>
      <c r="C7" s="44"/>
      <c r="D7" s="44"/>
      <c r="E7" s="27">
        <f>IF(C7="Days",D7*Workings!E8,IF(C7="Months",D7*(Workings!D8/12),0))</f>
        <v>0</v>
      </c>
    </row>
    <row r="8" spans="2:6">
      <c r="B8" s="33" t="s">
        <v>18</v>
      </c>
      <c r="C8" s="44"/>
      <c r="D8" s="44"/>
      <c r="E8" s="27">
        <f>IF(C8="Days",D8*Workings!E9,IF(C8="Months",D8*(Workings!D9/12),0))</f>
        <v>0</v>
      </c>
    </row>
    <row r="9" spans="2:6">
      <c r="B9" s="33" t="s">
        <v>17</v>
      </c>
      <c r="C9" s="44"/>
      <c r="D9" s="44"/>
      <c r="E9" s="27">
        <f>IF(C9="Days",D9*Workings!E10,IF(C9="Months",D9*(Workings!D10/12),0))</f>
        <v>0</v>
      </c>
    </row>
    <row r="10" spans="2:6">
      <c r="B10" s="33" t="s">
        <v>16</v>
      </c>
      <c r="C10" s="44"/>
      <c r="D10" s="44"/>
      <c r="E10" s="27">
        <f>IF(C10="Days",D10*Workings!E11,IF(C10="Months",D10*(Workings!D11/12),0))</f>
        <v>0</v>
      </c>
    </row>
    <row r="11" spans="2:6">
      <c r="B11" s="33" t="s">
        <v>15</v>
      </c>
      <c r="C11" s="44"/>
      <c r="D11" s="44"/>
      <c r="E11" s="27">
        <f>IF(C11="Days",D11*Workings!E12,IF(C11="Months",D11*(Workings!D12/12),0))</f>
        <v>0</v>
      </c>
    </row>
    <row r="12" spans="2:6">
      <c r="B12" s="33" t="s">
        <v>14</v>
      </c>
      <c r="C12" s="44"/>
      <c r="D12" s="44"/>
      <c r="E12" s="27">
        <f>IF(C12="Days",D12*Workings!E13,IF(C12="Months",D12*(Workings!D13/12),0))</f>
        <v>0</v>
      </c>
    </row>
    <row r="13" spans="2:6">
      <c r="B13" s="33" t="s">
        <v>13</v>
      </c>
      <c r="C13" s="44"/>
      <c r="D13" s="44"/>
      <c r="E13" s="27">
        <f>IF(C13="Days",D13*Workings!E14,IF(C13="Months",D13*(Workings!D14/12),0))</f>
        <v>0</v>
      </c>
    </row>
    <row r="14" spans="2:6">
      <c r="B14" s="33" t="s">
        <v>12</v>
      </c>
      <c r="C14" s="44"/>
      <c r="D14" s="44"/>
      <c r="E14" s="27">
        <f>IF(C14="Days",D14*Workings!E15,IF(C14="Months",D14*(Workings!D15/12),0))</f>
        <v>0</v>
      </c>
    </row>
    <row r="15" spans="2:6">
      <c r="B15" s="33" t="s">
        <v>11</v>
      </c>
      <c r="C15" s="44"/>
      <c r="D15" s="44"/>
      <c r="E15" s="27">
        <f>IF(C15="Days",D15*Workings!E16,IF(C15="Months",D15*(Workings!D16/12),0))</f>
        <v>0</v>
      </c>
    </row>
    <row r="16" spans="2:6">
      <c r="C16" s="26"/>
      <c r="E16" s="41">
        <f>SUM(E5:E15)</f>
        <v>0</v>
      </c>
    </row>
    <row r="17" spans="1:5" ht="15.75" thickBot="1">
      <c r="B17" s="15" t="s">
        <v>33</v>
      </c>
      <c r="D17" s="48">
        <v>0.1</v>
      </c>
      <c r="E17" s="27">
        <f>E16*D17</f>
        <v>0</v>
      </c>
    </row>
    <row r="18" spans="1:5" ht="15.75" thickBot="1">
      <c r="B18" s="45" t="s">
        <v>34</v>
      </c>
      <c r="C18" s="46"/>
      <c r="D18" s="46"/>
      <c r="E18" s="47">
        <f>E16+E17</f>
        <v>0</v>
      </c>
    </row>
    <row r="20" spans="1:5">
      <c r="A20" t="s">
        <v>36</v>
      </c>
    </row>
    <row r="21" spans="1:5">
      <c r="A21" t="s">
        <v>37</v>
      </c>
    </row>
    <row r="22" spans="1:5">
      <c r="A22" t="s">
        <v>32</v>
      </c>
    </row>
    <row r="23" spans="1:5">
      <c r="A23" t="s">
        <v>35</v>
      </c>
    </row>
  </sheetData>
  <dataValidations count="3">
    <dataValidation type="decimal" allowBlank="1" showInputMessage="1" showErrorMessage="1" sqref="D5:D15" xr:uid="{B65E076B-7ECA-44E2-98EA-AB023B2E7666}">
      <formula1>0</formula1>
      <formula2>5000</formula2>
    </dataValidation>
    <dataValidation type="list" allowBlank="1" showInputMessage="1" showErrorMessage="1" sqref="C5:C15" xr:uid="{D2C71637-4874-4E31-90DF-4E401FC5E388}">
      <formula1>"Days,Months"</formula1>
    </dataValidation>
    <dataValidation type="list" allowBlank="1" showInputMessage="1" showErrorMessage="1" sqref="D17" xr:uid="{1BF6C6DC-E951-4E7D-ADB4-57A0945BC047}">
      <formula1>"0%,5%,10%"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D836-061E-4AAC-83F7-DC29400DDEEF}">
  <dimension ref="B2:K30"/>
  <sheetViews>
    <sheetView workbookViewId="0">
      <selection activeCell="D18" sqref="D18"/>
    </sheetView>
  </sheetViews>
  <sheetFormatPr defaultRowHeight="15" outlineLevelRow="1"/>
  <cols>
    <col min="3" max="3" width="22.85546875" bestFit="1" customWidth="1"/>
    <col min="4" max="4" width="16.42578125" customWidth="1"/>
    <col min="5" max="5" width="12.85546875" customWidth="1"/>
    <col min="6" max="6" width="10.140625" customWidth="1"/>
    <col min="7" max="7" width="15.42578125" customWidth="1"/>
    <col min="8" max="8" width="1.42578125" customWidth="1"/>
    <col min="9" max="9" width="11.140625" bestFit="1" customWidth="1"/>
  </cols>
  <sheetData>
    <row r="2" spans="3:11" ht="21">
      <c r="C2" s="40" t="s">
        <v>38</v>
      </c>
      <c r="D2" s="40"/>
      <c r="E2" s="40"/>
      <c r="F2" s="40"/>
      <c r="G2" s="40"/>
      <c r="H2" s="40"/>
      <c r="K2" t="s">
        <v>26</v>
      </c>
    </row>
    <row r="3" spans="3:11">
      <c r="K3" t="s">
        <v>30</v>
      </c>
    </row>
    <row r="4" spans="3:11" ht="38.25">
      <c r="D4" s="39" t="s">
        <v>39</v>
      </c>
      <c r="E4" s="37" t="s">
        <v>25</v>
      </c>
      <c r="F4" s="38" t="s">
        <v>24</v>
      </c>
      <c r="G4" s="37" t="s">
        <v>23</v>
      </c>
    </row>
    <row r="5" spans="3:11" hidden="1" outlineLevel="1">
      <c r="C5" s="33" t="s">
        <v>22</v>
      </c>
      <c r="D5" s="32"/>
      <c r="E5" s="35">
        <v>0</v>
      </c>
      <c r="F5" s="36"/>
      <c r="G5" s="35">
        <v>0</v>
      </c>
    </row>
    <row r="6" spans="3:11" collapsed="1">
      <c r="C6" s="33" t="s">
        <v>21</v>
      </c>
      <c r="D6" s="32">
        <v>34567.515279600004</v>
      </c>
      <c r="E6" s="27">
        <f t="shared" ref="E6:E17" si="0">+D6/$E$28</f>
        <v>163.43978855602839</v>
      </c>
      <c r="F6" s="34">
        <v>1</v>
      </c>
      <c r="G6" s="27">
        <f t="shared" ref="G6:G17" si="1">E6/F6</f>
        <v>163.43978855602839</v>
      </c>
    </row>
    <row r="7" spans="3:11">
      <c r="C7" s="33" t="s">
        <v>20</v>
      </c>
      <c r="D7" s="32">
        <v>37089.424179599999</v>
      </c>
      <c r="E7" s="27">
        <f t="shared" si="0"/>
        <v>175.36370770496453</v>
      </c>
      <c r="F7" s="31">
        <f t="shared" ref="F7:F16" si="2">F6</f>
        <v>1</v>
      </c>
      <c r="G7" s="27">
        <f t="shared" si="1"/>
        <v>175.36370770496453</v>
      </c>
      <c r="I7" s="42">
        <f>D7*1.3/12</f>
        <v>4018.0209527900001</v>
      </c>
    </row>
    <row r="8" spans="3:11">
      <c r="C8" s="33" t="s">
        <v>19</v>
      </c>
      <c r="D8" s="32">
        <v>41798.5370196</v>
      </c>
      <c r="E8" s="27">
        <f t="shared" si="0"/>
        <v>197.62901664113474</v>
      </c>
      <c r="F8" s="31">
        <f t="shared" si="2"/>
        <v>1</v>
      </c>
      <c r="G8" s="27">
        <f t="shared" si="1"/>
        <v>197.62901664113474</v>
      </c>
      <c r="I8">
        <f>25/4</f>
        <v>6.25</v>
      </c>
    </row>
    <row r="9" spans="3:11">
      <c r="C9" s="33" t="s">
        <v>18</v>
      </c>
      <c r="D9" s="32">
        <v>52622.213619599992</v>
      </c>
      <c r="E9" s="27">
        <f t="shared" si="0"/>
        <v>248.80479252765954</v>
      </c>
      <c r="F9" s="31">
        <f t="shared" si="2"/>
        <v>1</v>
      </c>
      <c r="G9" s="27">
        <f t="shared" si="1"/>
        <v>248.80479252765954</v>
      </c>
    </row>
    <row r="10" spans="3:11">
      <c r="C10" s="33" t="s">
        <v>17</v>
      </c>
      <c r="D10" s="32">
        <v>64071.718764600002</v>
      </c>
      <c r="E10" s="27">
        <f t="shared" si="0"/>
        <v>302.93956862695035</v>
      </c>
      <c r="F10" s="31">
        <f t="shared" si="2"/>
        <v>1</v>
      </c>
      <c r="G10" s="27">
        <f t="shared" si="1"/>
        <v>302.93956862695035</v>
      </c>
      <c r="I10" s="42"/>
    </row>
    <row r="11" spans="3:11">
      <c r="C11" s="33" t="s">
        <v>16</v>
      </c>
      <c r="D11" s="32">
        <v>73676.408164599998</v>
      </c>
      <c r="E11" s="27">
        <f t="shared" si="0"/>
        <v>348.35181165295506</v>
      </c>
      <c r="F11" s="31">
        <f t="shared" si="2"/>
        <v>1</v>
      </c>
      <c r="G11" s="27">
        <f t="shared" si="1"/>
        <v>348.35181165295506</v>
      </c>
    </row>
    <row r="12" spans="3:11">
      <c r="C12" s="33" t="s">
        <v>15</v>
      </c>
      <c r="D12" s="32">
        <v>83093.859064599994</v>
      </c>
      <c r="E12" s="27">
        <f t="shared" si="0"/>
        <v>392.87876626288414</v>
      </c>
      <c r="F12" s="31">
        <f t="shared" si="2"/>
        <v>1</v>
      </c>
      <c r="G12" s="27">
        <f t="shared" si="1"/>
        <v>392.87876626288414</v>
      </c>
    </row>
    <row r="13" spans="3:11">
      <c r="C13" s="33" t="s">
        <v>14</v>
      </c>
      <c r="D13" s="32">
        <v>97525.427864600017</v>
      </c>
      <c r="E13" s="27">
        <f t="shared" si="0"/>
        <v>461.11313411158397</v>
      </c>
      <c r="F13" s="31">
        <f t="shared" si="2"/>
        <v>1</v>
      </c>
      <c r="G13" s="27">
        <f t="shared" si="1"/>
        <v>461.11313411158397</v>
      </c>
    </row>
    <row r="14" spans="3:11">
      <c r="C14" s="33" t="s">
        <v>13</v>
      </c>
      <c r="D14" s="32">
        <v>113812.59476460001</v>
      </c>
      <c r="E14" s="27">
        <f t="shared" si="0"/>
        <v>538.121015435461</v>
      </c>
      <c r="F14" s="31">
        <f t="shared" si="2"/>
        <v>1</v>
      </c>
      <c r="G14" s="27">
        <f t="shared" si="1"/>
        <v>538.121015435461</v>
      </c>
    </row>
    <row r="15" spans="3:11">
      <c r="C15" s="33" t="s">
        <v>12</v>
      </c>
      <c r="D15" s="32">
        <v>133489.4241646</v>
      </c>
      <c r="E15" s="27">
        <f t="shared" si="0"/>
        <v>631.15566980898348</v>
      </c>
      <c r="F15" s="31">
        <f t="shared" si="2"/>
        <v>1</v>
      </c>
      <c r="G15" s="27">
        <f t="shared" si="1"/>
        <v>631.15566980898348</v>
      </c>
    </row>
    <row r="16" spans="3:11">
      <c r="C16" s="33" t="s">
        <v>11</v>
      </c>
      <c r="D16" s="32">
        <v>157472.7390646</v>
      </c>
      <c r="E16" s="27">
        <f t="shared" si="0"/>
        <v>744.55195775224581</v>
      </c>
      <c r="F16" s="31">
        <f t="shared" si="2"/>
        <v>1</v>
      </c>
      <c r="G16" s="27">
        <f t="shared" si="1"/>
        <v>744.55195775224581</v>
      </c>
    </row>
    <row r="17" spans="2:7">
      <c r="C17" s="30" t="s">
        <v>10</v>
      </c>
      <c r="D17" s="29">
        <f>15000*12*1.05</f>
        <v>189000</v>
      </c>
      <c r="E17" s="27">
        <f t="shared" si="0"/>
        <v>893.61702127659578</v>
      </c>
      <c r="F17" s="28">
        <v>1</v>
      </c>
      <c r="G17" s="27">
        <f t="shared" si="1"/>
        <v>893.61702127659578</v>
      </c>
    </row>
    <row r="18" spans="2:7">
      <c r="F18" s="26"/>
    </row>
    <row r="19" spans="2:7">
      <c r="F19" s="26"/>
    </row>
    <row r="20" spans="2:7">
      <c r="B20" s="25" t="s">
        <v>9</v>
      </c>
      <c r="C20" s="24"/>
      <c r="D20" s="24"/>
      <c r="E20" s="23"/>
      <c r="F20" s="15"/>
    </row>
    <row r="21" spans="2:7">
      <c r="B21" s="18"/>
      <c r="C21" s="22"/>
      <c r="D21" s="22"/>
      <c r="E21" s="21"/>
      <c r="F21" s="15"/>
    </row>
    <row r="22" spans="2:7">
      <c r="B22" s="18"/>
      <c r="C22" s="17" t="s">
        <v>8</v>
      </c>
      <c r="D22" s="15"/>
      <c r="E22" s="19">
        <f>52*5</f>
        <v>260</v>
      </c>
      <c r="F22" s="15"/>
    </row>
    <row r="23" spans="2:7">
      <c r="B23" s="18"/>
      <c r="C23" s="13" t="s">
        <v>7</v>
      </c>
      <c r="D23" s="1"/>
      <c r="E23" s="20">
        <v>-8</v>
      </c>
      <c r="F23" s="15"/>
    </row>
    <row r="24" spans="2:7">
      <c r="B24" s="18"/>
      <c r="C24" s="17" t="s">
        <v>6</v>
      </c>
      <c r="D24" s="15"/>
      <c r="E24" s="19">
        <f>E22+E23</f>
        <v>252</v>
      </c>
      <c r="F24" s="15"/>
    </row>
    <row r="25" spans="2:7">
      <c r="B25" s="18"/>
      <c r="C25" s="17" t="s">
        <v>5</v>
      </c>
      <c r="D25" s="15"/>
      <c r="E25" s="16">
        <v>-30</v>
      </c>
      <c r="F25" s="15"/>
    </row>
    <row r="26" spans="2:7">
      <c r="B26" s="8"/>
      <c r="C26" s="13" t="s">
        <v>4</v>
      </c>
      <c r="D26" s="14">
        <v>2.5000000000000001E-2</v>
      </c>
      <c r="E26" s="12">
        <f>-E22*D26</f>
        <v>-6.5</v>
      </c>
      <c r="F26" s="1"/>
    </row>
    <row r="27" spans="2:7">
      <c r="B27" s="8"/>
      <c r="C27" s="13" t="s">
        <v>3</v>
      </c>
      <c r="D27" s="1"/>
      <c r="E27" s="12">
        <v>-4</v>
      </c>
      <c r="F27" s="1"/>
    </row>
    <row r="28" spans="2:7">
      <c r="B28" s="11"/>
      <c r="C28" s="10" t="s">
        <v>2</v>
      </c>
      <c r="D28" s="1"/>
      <c r="E28" s="43">
        <f>+SUM(E24:E27)</f>
        <v>211.5</v>
      </c>
      <c r="F28" s="9"/>
    </row>
    <row r="29" spans="2:7">
      <c r="B29" s="8"/>
      <c r="C29" s="7" t="s">
        <v>1</v>
      </c>
      <c r="D29" s="6">
        <v>7.5</v>
      </c>
      <c r="E29" s="2">
        <f>E28*D29</f>
        <v>1586.25</v>
      </c>
      <c r="F29" s="1"/>
    </row>
    <row r="30" spans="2:7">
      <c r="B30" s="5"/>
      <c r="C30" s="4" t="s">
        <v>0</v>
      </c>
      <c r="D30" s="3">
        <f>7.5*60</f>
        <v>450</v>
      </c>
      <c r="E30" s="2">
        <f>E28*D30</f>
        <v>95175</v>
      </c>
      <c r="F30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Workings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Hyam</dc:creator>
  <cp:lastModifiedBy>Jadie Baxter</cp:lastModifiedBy>
  <dcterms:created xsi:type="dcterms:W3CDTF">2022-09-02T08:20:53Z</dcterms:created>
  <dcterms:modified xsi:type="dcterms:W3CDTF">2023-07-24T20:28:55Z</dcterms:modified>
</cp:coreProperties>
</file>